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Excel\"/>
    </mc:Choice>
  </mc:AlternateContent>
  <xr:revisionPtr revIDLastSave="0" documentId="8_{88E7BF5E-09A8-48D6-ACCB-7CDF07E8E0B2}" xr6:coauthVersionLast="46" xr6:coauthVersionMax="46" xr10:uidLastSave="{00000000-0000-0000-0000-000000000000}"/>
  <bookViews>
    <workbookView xWindow="-108" yWindow="-108" windowWidth="23256" windowHeight="12576" firstSheet="1" activeTab="1" xr2:uid="{5625C3E3-260F-4109-B00F-B06AC83D8E18}"/>
  </bookViews>
  <sheets>
    <sheet name="2 tasche (asse verticale)" sheetId="1" r:id="rId1"/>
    <sheet name="3 tasche" sheetId="3" r:id="rId2"/>
    <sheet name="Analisi FEM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3" l="1"/>
  <c r="C18" i="6" l="1"/>
  <c r="B18" i="6"/>
  <c r="D15" i="6"/>
  <c r="C15" i="6"/>
  <c r="C14" i="6"/>
  <c r="B14" i="6"/>
  <c r="A14" i="6"/>
  <c r="A15" i="6" s="1"/>
  <c r="C16" i="6"/>
  <c r="B16" i="6"/>
  <c r="B15" i="6" s="1"/>
  <c r="A16" i="6"/>
  <c r="C8" i="6"/>
  <c r="C9" i="6" s="1"/>
  <c r="C10" i="6" s="1"/>
  <c r="B8" i="6"/>
  <c r="Z55" i="3" l="1"/>
  <c r="N10" i="3" l="1"/>
  <c r="F8" i="3" l="1"/>
  <c r="AA8" i="3" l="1"/>
  <c r="AA9" i="3"/>
  <c r="AA10" i="3"/>
  <c r="AA11" i="3"/>
  <c r="AA12" i="3"/>
  <c r="AA13" i="3"/>
  <c r="AA14" i="3"/>
  <c r="AA19" i="3"/>
  <c r="AA18" i="3"/>
  <c r="AA17" i="3"/>
  <c r="AA16" i="3"/>
  <c r="AA15" i="3"/>
  <c r="AG29" i="3" l="1"/>
  <c r="AG30" i="3"/>
  <c r="AG31" i="3"/>
  <c r="AG32" i="3"/>
  <c r="AG33" i="3"/>
  <c r="AG34" i="3"/>
  <c r="AG35" i="3"/>
  <c r="AG36" i="3"/>
  <c r="AG37" i="3"/>
  <c r="AG38" i="3"/>
  <c r="AG39" i="3"/>
  <c r="AG40" i="3"/>
  <c r="AG41" i="3"/>
  <c r="AG42" i="3"/>
  <c r="AG43" i="3"/>
  <c r="AG44" i="3"/>
  <c r="AG45" i="3"/>
  <c r="AG28" i="3"/>
  <c r="AO39" i="3" l="1"/>
  <c r="AO37" i="3"/>
  <c r="AO41" i="3"/>
  <c r="AO43" i="3"/>
  <c r="AO45" i="3"/>
  <c r="AR44" i="3"/>
  <c r="AR45" i="3"/>
  <c r="AR43" i="3"/>
  <c r="AR42" i="3"/>
  <c r="AR41" i="3"/>
  <c r="AR40" i="3"/>
  <c r="AR39" i="3"/>
  <c r="AR38" i="3"/>
  <c r="AR36" i="3"/>
  <c r="AR37" i="3"/>
  <c r="AX36" i="3"/>
  <c r="AX37" i="3"/>
  <c r="AX38" i="3"/>
  <c r="AX39" i="3"/>
  <c r="AX40" i="3"/>
  <c r="AX41" i="3"/>
  <c r="AX42" i="3"/>
  <c r="AX43" i="3"/>
  <c r="AX44" i="3"/>
  <c r="AX45" i="3"/>
  <c r="AU45" i="3"/>
  <c r="AU44" i="3"/>
  <c r="AU43" i="3"/>
  <c r="AU42" i="3"/>
  <c r="AU41" i="3"/>
  <c r="AU40" i="3"/>
  <c r="AU39" i="3"/>
  <c r="AU38" i="3"/>
  <c r="AU37" i="3"/>
  <c r="AU36" i="3"/>
  <c r="AX28" i="3"/>
  <c r="AX27" i="3"/>
  <c r="AX26" i="3"/>
  <c r="AX25" i="3"/>
  <c r="AX24" i="3"/>
  <c r="AX23" i="3"/>
  <c r="AX22" i="3"/>
  <c r="AX21" i="3"/>
  <c r="AX20" i="3"/>
  <c r="AX19" i="3"/>
  <c r="AX18" i="3"/>
  <c r="AX17" i="3"/>
  <c r="AX16" i="3"/>
  <c r="AX15" i="3"/>
  <c r="AX14" i="3"/>
  <c r="F26" i="3" l="1"/>
  <c r="L94" i="3" l="1"/>
  <c r="L102" i="3"/>
  <c r="F14" i="3" l="1"/>
  <c r="F9" i="3" l="1"/>
  <c r="Z57" i="3" s="1"/>
  <c r="F14" i="1" l="1"/>
  <c r="L98" i="3"/>
  <c r="R22" i="3"/>
  <c r="L32" i="3"/>
  <c r="K18" i="3"/>
  <c r="R8" i="3"/>
  <c r="R9" i="3" s="1"/>
  <c r="L13" i="3"/>
  <c r="F12" i="3"/>
  <c r="F10" i="3" s="1"/>
  <c r="L8" i="3"/>
  <c r="L7" i="3"/>
  <c r="M5" i="3"/>
  <c r="L5" i="3" l="1"/>
  <c r="R19" i="3"/>
  <c r="U20" i="3" s="1"/>
  <c r="AK44" i="3"/>
  <c r="AL44" i="3" s="1"/>
  <c r="AK41" i="3"/>
  <c r="AL41" i="3" s="1"/>
  <c r="AK37" i="3"/>
  <c r="AL37" i="3" s="1"/>
  <c r="AK45" i="3"/>
  <c r="AL45" i="3" s="1"/>
  <c r="AK40" i="3"/>
  <c r="AL40" i="3" s="1"/>
  <c r="AK43" i="3"/>
  <c r="AL43" i="3" s="1"/>
  <c r="AK39" i="3"/>
  <c r="AL39" i="3" s="1"/>
  <c r="AK36" i="3"/>
  <c r="AL36" i="3" s="1"/>
  <c r="AK42" i="3"/>
  <c r="AL42" i="3" s="1"/>
  <c r="AK38" i="3"/>
  <c r="AL38" i="3" s="1"/>
  <c r="L6" i="3"/>
  <c r="R20" i="3"/>
  <c r="R21" i="3"/>
  <c r="K41" i="3"/>
  <c r="Z44" i="3"/>
  <c r="R12" i="3"/>
  <c r="R10" i="3"/>
  <c r="L8" i="1"/>
  <c r="Z54" i="3" l="1"/>
  <c r="L101" i="3"/>
  <c r="X70" i="3"/>
  <c r="X75" i="3" s="1"/>
  <c r="L11" i="3"/>
  <c r="L10" i="3"/>
  <c r="AM37" i="3"/>
  <c r="AM41" i="3"/>
  <c r="AM45" i="3"/>
  <c r="AM43" i="3"/>
  <c r="AM38" i="3"/>
  <c r="AM42" i="3"/>
  <c r="AM36" i="3"/>
  <c r="AM39" i="3"/>
  <c r="AM40" i="3"/>
  <c r="AM44" i="3"/>
  <c r="L34" i="3"/>
  <c r="K20" i="3" s="1"/>
  <c r="R3" i="3"/>
  <c r="L96" i="3" s="1"/>
  <c r="R5" i="3"/>
  <c r="L100" i="3" s="1"/>
  <c r="L36" i="3"/>
  <c r="L38" i="3"/>
  <c r="Z46" i="3"/>
  <c r="R1" i="3"/>
  <c r="L92" i="3" s="1"/>
  <c r="L97" i="3"/>
  <c r="L93" i="3"/>
  <c r="F25" i="1"/>
  <c r="Z76" i="3" l="1"/>
  <c r="Z80" i="3"/>
  <c r="Z84" i="3"/>
  <c r="Z88" i="3"/>
  <c r="X77" i="3"/>
  <c r="X81" i="3"/>
  <c r="X85" i="3"/>
  <c r="X89" i="3"/>
  <c r="X93" i="3"/>
  <c r="Y78" i="3"/>
  <c r="Y82" i="3"/>
  <c r="Y86" i="3"/>
  <c r="Z77" i="3"/>
  <c r="Z81" i="3"/>
  <c r="Z85" i="3"/>
  <c r="Z89" i="3"/>
  <c r="X78" i="3"/>
  <c r="X82" i="3"/>
  <c r="X86" i="3"/>
  <c r="X90" i="3"/>
  <c r="X94" i="3"/>
  <c r="Y75" i="3"/>
  <c r="Y79" i="3"/>
  <c r="Y83" i="3"/>
  <c r="Y87" i="3"/>
  <c r="Z78" i="3"/>
  <c r="Z82" i="3"/>
  <c r="Z86" i="3"/>
  <c r="Z75" i="3"/>
  <c r="X79" i="3"/>
  <c r="X83" i="3"/>
  <c r="X87" i="3"/>
  <c r="X91" i="3"/>
  <c r="X95" i="3"/>
  <c r="Y76" i="3"/>
  <c r="Y80" i="3"/>
  <c r="Y84" i="3"/>
  <c r="Y88" i="3"/>
  <c r="Z79" i="3"/>
  <c r="Z83" i="3"/>
  <c r="Z87" i="3"/>
  <c r="X76" i="3"/>
  <c r="X80" i="3"/>
  <c r="X84" i="3"/>
  <c r="X88" i="3"/>
  <c r="X92" i="3"/>
  <c r="X96" i="3"/>
  <c r="Y77" i="3"/>
  <c r="Y81" i="3"/>
  <c r="Y85" i="3"/>
  <c r="Y89" i="3"/>
  <c r="L91" i="3"/>
  <c r="F37" i="3"/>
  <c r="F38" i="3" s="1"/>
  <c r="K17" i="3"/>
  <c r="K16" i="3" s="1"/>
  <c r="L95" i="3"/>
  <c r="L99" i="3"/>
  <c r="K24" i="3"/>
  <c r="F41" i="3"/>
  <c r="F42" i="3" s="1"/>
  <c r="K22" i="3"/>
  <c r="F39" i="3"/>
  <c r="F40" i="3" s="1"/>
  <c r="F40" i="1"/>
  <c r="L47" i="1"/>
  <c r="L31" i="1"/>
  <c r="F5" i="1"/>
  <c r="L49" i="1" s="1"/>
  <c r="R9" i="1"/>
  <c r="R19" i="1"/>
  <c r="K17" i="1"/>
  <c r="R20" i="1"/>
  <c r="S39" i="3" l="1"/>
  <c r="S40" i="3"/>
  <c r="S46" i="3"/>
  <c r="S44" i="3"/>
  <c r="S47" i="3"/>
  <c r="S45" i="3"/>
  <c r="S38" i="3"/>
  <c r="S37" i="3"/>
  <c r="S31" i="3"/>
  <c r="S33" i="3"/>
  <c r="S30" i="3"/>
  <c r="S32" i="3"/>
  <c r="Z43" i="3"/>
  <c r="L90" i="3"/>
  <c r="L104" i="3"/>
  <c r="K23" i="3"/>
  <c r="F33" i="3"/>
  <c r="K44" i="3" s="1"/>
  <c r="K25" i="3"/>
  <c r="K21" i="3"/>
  <c r="L33" i="1"/>
  <c r="L35" i="1"/>
  <c r="K21" i="1" s="1"/>
  <c r="L45" i="1"/>
  <c r="R36" i="1"/>
  <c r="R12" i="1"/>
  <c r="R10" i="1"/>
  <c r="R33" i="1"/>
  <c r="S35" i="3" l="1"/>
  <c r="S28" i="3" s="1"/>
  <c r="Z45" i="3"/>
  <c r="Z48" i="3" s="1"/>
  <c r="S34" i="3"/>
  <c r="S48" i="3"/>
  <c r="S49" i="3"/>
  <c r="S41" i="3"/>
  <c r="S42" i="3"/>
  <c r="L103" i="3"/>
  <c r="L105" i="3" s="1"/>
  <c r="F34" i="3"/>
  <c r="R2" i="1"/>
  <c r="R32" i="1" s="1"/>
  <c r="R4" i="1"/>
  <c r="R35" i="1" s="1"/>
  <c r="K19" i="1"/>
  <c r="L13" i="1"/>
  <c r="M5" i="1"/>
  <c r="F10" i="1"/>
  <c r="F9" i="1" s="1"/>
  <c r="Z49" i="3" l="1"/>
  <c r="Z50" i="3" s="1"/>
  <c r="Z51" i="3"/>
  <c r="Z39" i="3"/>
  <c r="Y27" i="3"/>
  <c r="Y28" i="3" s="1"/>
  <c r="W27" i="3"/>
  <c r="W28" i="3" s="1"/>
  <c r="S51" i="3"/>
  <c r="S50" i="3"/>
  <c r="S36" i="3"/>
  <c r="S43" i="3"/>
  <c r="S52" i="3"/>
  <c r="L5" i="1"/>
  <c r="L10" i="1" s="1"/>
  <c r="Z53" i="3" l="1"/>
  <c r="Z52" i="3"/>
  <c r="Z58" i="3"/>
  <c r="W57" i="3" s="1"/>
  <c r="S53" i="3"/>
  <c r="Z27" i="3"/>
  <c r="L11" i="1"/>
  <c r="T31" i="1"/>
  <c r="L37" i="1"/>
  <c r="F51" i="1"/>
  <c r="F52" i="1"/>
  <c r="L42" i="1"/>
  <c r="L43" i="1" s="1"/>
  <c r="L44" i="1"/>
  <c r="N33" i="1"/>
  <c r="F32" i="1"/>
  <c r="F36" i="1"/>
  <c r="K23" i="1"/>
  <c r="K24" i="1" s="1"/>
  <c r="K22" i="1"/>
  <c r="P156" i="3" l="1"/>
  <c r="P180" i="3"/>
  <c r="O543" i="3"/>
  <c r="P288" i="3"/>
  <c r="P118" i="3"/>
  <c r="P266" i="3"/>
  <c r="O137" i="3"/>
  <c r="P214" i="3"/>
  <c r="P164" i="3"/>
  <c r="P184" i="3"/>
  <c r="P220" i="3"/>
  <c r="O388" i="3"/>
  <c r="O492" i="3"/>
  <c r="P260" i="3"/>
  <c r="P138" i="3"/>
  <c r="P110" i="3"/>
  <c r="P284" i="3"/>
  <c r="O403" i="3"/>
  <c r="O241" i="3"/>
  <c r="P134" i="3"/>
  <c r="P148" i="3"/>
  <c r="P202" i="3"/>
  <c r="P174" i="3"/>
  <c r="P160" i="3"/>
  <c r="O462" i="3"/>
  <c r="P120" i="3"/>
  <c r="P238" i="3"/>
  <c r="P242" i="3"/>
  <c r="P95" i="3"/>
  <c r="O426" i="3"/>
  <c r="P248" i="3"/>
  <c r="P302" i="3"/>
  <c r="P146" i="3"/>
  <c r="O532" i="3"/>
  <c r="O360" i="3"/>
  <c r="O364" i="3"/>
  <c r="P90" i="3"/>
  <c r="P230" i="3"/>
  <c r="P246" i="3"/>
  <c r="P170" i="3"/>
  <c r="P298" i="3"/>
  <c r="P216" i="3"/>
  <c r="P142" i="3"/>
  <c r="P270" i="3"/>
  <c r="P188" i="3"/>
  <c r="P114" i="3"/>
  <c r="P107" i="3"/>
  <c r="O82" i="3"/>
  <c r="P528" i="3"/>
  <c r="O382" i="3"/>
  <c r="P485" i="3"/>
  <c r="O165" i="3"/>
  <c r="P60" i="3"/>
  <c r="O450" i="3"/>
  <c r="O468" i="3"/>
  <c r="O77" i="3"/>
  <c r="P74" i="3"/>
  <c r="O407" i="3"/>
  <c r="O87" i="3"/>
  <c r="P262" i="3"/>
  <c r="P132" i="3"/>
  <c r="P276" i="3"/>
  <c r="P292" i="3"/>
  <c r="P234" i="3"/>
  <c r="P152" i="3"/>
  <c r="P280" i="3"/>
  <c r="P206" i="3"/>
  <c r="P124" i="3"/>
  <c r="P252" i="3"/>
  <c r="P178" i="3"/>
  <c r="P224" i="3"/>
  <c r="O463" i="3"/>
  <c r="O467" i="3"/>
  <c r="O225" i="3"/>
  <c r="O490" i="3"/>
  <c r="O101" i="3"/>
  <c r="O514" i="3"/>
  <c r="O554" i="3"/>
  <c r="O535" i="3"/>
  <c r="O428" i="3"/>
  <c r="O153" i="3"/>
  <c r="O209" i="3"/>
  <c r="O424" i="3"/>
  <c r="O309" i="3"/>
  <c r="O78" i="3"/>
  <c r="O362" i="3"/>
  <c r="O520" i="3"/>
  <c r="O556" i="3"/>
  <c r="O471" i="3"/>
  <c r="O386" i="3"/>
  <c r="P512" i="3"/>
  <c r="O325" i="3"/>
  <c r="P66" i="3"/>
  <c r="P71" i="3"/>
  <c r="O454" i="3"/>
  <c r="P198" i="3"/>
  <c r="P244" i="3"/>
  <c r="P278" i="3"/>
  <c r="P166" i="3"/>
  <c r="P212" i="3"/>
  <c r="P182" i="3"/>
  <c r="P228" i="3"/>
  <c r="P154" i="3"/>
  <c r="P218" i="3"/>
  <c r="P282" i="3"/>
  <c r="P136" i="3"/>
  <c r="P200" i="3"/>
  <c r="P264" i="3"/>
  <c r="P126" i="3"/>
  <c r="P190" i="3"/>
  <c r="P254" i="3"/>
  <c r="P108" i="3"/>
  <c r="P172" i="3"/>
  <c r="P236" i="3"/>
  <c r="P300" i="3"/>
  <c r="P162" i="3"/>
  <c r="P274" i="3"/>
  <c r="P192" i="3"/>
  <c r="O66" i="3"/>
  <c r="O495" i="3"/>
  <c r="O356" i="3"/>
  <c r="O85" i="3"/>
  <c r="O440" i="3"/>
  <c r="O392" i="3"/>
  <c r="O344" i="3"/>
  <c r="O181" i="3"/>
  <c r="O58" i="3"/>
  <c r="O511" i="3"/>
  <c r="O399" i="3"/>
  <c r="P57" i="3"/>
  <c r="O547" i="3"/>
  <c r="O64" i="3"/>
  <c r="P97" i="3"/>
  <c r="O524" i="3"/>
  <c r="O482" i="3"/>
  <c r="O439" i="3"/>
  <c r="O396" i="3"/>
  <c r="O352" i="3"/>
  <c r="O197" i="3"/>
  <c r="P384" i="3"/>
  <c r="P96" i="3"/>
  <c r="O420" i="3"/>
  <c r="O550" i="3"/>
  <c r="O345" i="3"/>
  <c r="O432" i="3"/>
  <c r="O90" i="3"/>
  <c r="P116" i="3"/>
  <c r="P150" i="3"/>
  <c r="P196" i="3"/>
  <c r="P294" i="3"/>
  <c r="O57" i="3"/>
  <c r="P111" i="3"/>
  <c r="P122" i="3"/>
  <c r="P186" i="3"/>
  <c r="P250" i="3"/>
  <c r="P115" i="3"/>
  <c r="P168" i="3"/>
  <c r="P232" i="3"/>
  <c r="P296" i="3"/>
  <c r="P158" i="3"/>
  <c r="P222" i="3"/>
  <c r="P286" i="3"/>
  <c r="P140" i="3"/>
  <c r="P204" i="3"/>
  <c r="P268" i="3"/>
  <c r="P130" i="3"/>
  <c r="P210" i="3"/>
  <c r="P128" i="3"/>
  <c r="P256" i="3"/>
  <c r="O99" i="3"/>
  <c r="O431" i="3"/>
  <c r="O121" i="3"/>
  <c r="O515" i="3"/>
  <c r="O414" i="3"/>
  <c r="O371" i="3"/>
  <c r="O265" i="3"/>
  <c r="P549" i="3"/>
  <c r="P76" i="3"/>
  <c r="O458" i="3"/>
  <c r="O293" i="3"/>
  <c r="P75" i="3"/>
  <c r="O494" i="3"/>
  <c r="O72" i="3"/>
  <c r="O546" i="3"/>
  <c r="O503" i="3"/>
  <c r="O460" i="3"/>
  <c r="O418" i="3"/>
  <c r="O375" i="3"/>
  <c r="O281" i="3"/>
  <c r="O113" i="3"/>
  <c r="O74" i="3"/>
  <c r="O522" i="3"/>
  <c r="O483" i="3"/>
  <c r="P194" i="3"/>
  <c r="P258" i="3"/>
  <c r="P112" i="3"/>
  <c r="P176" i="3"/>
  <c r="P240" i="3"/>
  <c r="P304" i="3"/>
  <c r="P82" i="3"/>
  <c r="O516" i="3"/>
  <c r="O447" i="3"/>
  <c r="O372" i="3"/>
  <c r="O145" i="3"/>
  <c r="O61" i="3"/>
  <c r="O542" i="3"/>
  <c r="O451" i="3"/>
  <c r="O419" i="3"/>
  <c r="O398" i="3"/>
  <c r="O376" i="3"/>
  <c r="O353" i="3"/>
  <c r="O289" i="3"/>
  <c r="O201" i="3"/>
  <c r="O117" i="3"/>
  <c r="P416" i="3"/>
  <c r="O70" i="3"/>
  <c r="O527" i="3"/>
  <c r="O474" i="3"/>
  <c r="O415" i="3"/>
  <c r="O336" i="3"/>
  <c r="P493" i="3"/>
  <c r="O69" i="3"/>
  <c r="P91" i="3"/>
  <c r="O504" i="3"/>
  <c r="O435" i="3"/>
  <c r="O84" i="3"/>
  <c r="O103" i="3"/>
  <c r="O551" i="3"/>
  <c r="O530" i="3"/>
  <c r="O508" i="3"/>
  <c r="O487" i="3"/>
  <c r="O466" i="3"/>
  <c r="O444" i="3"/>
  <c r="O423" i="3"/>
  <c r="O402" i="3"/>
  <c r="O380" i="3"/>
  <c r="O359" i="3"/>
  <c r="O305" i="3"/>
  <c r="O217" i="3"/>
  <c r="O133" i="3"/>
  <c r="P477" i="3"/>
  <c r="O86" i="3"/>
  <c r="P101" i="3"/>
  <c r="O538" i="3"/>
  <c r="O436" i="3"/>
  <c r="O185" i="3"/>
  <c r="O60" i="3"/>
  <c r="O75" i="3"/>
  <c r="O518" i="3"/>
  <c r="O368" i="3"/>
  <c r="P103" i="3"/>
  <c r="P79" i="3"/>
  <c r="P83" i="3"/>
  <c r="O491" i="3"/>
  <c r="P448" i="3"/>
  <c r="P226" i="3"/>
  <c r="P290" i="3"/>
  <c r="P144" i="3"/>
  <c r="P208" i="3"/>
  <c r="P272" i="3"/>
  <c r="P62" i="3"/>
  <c r="O548" i="3"/>
  <c r="O479" i="3"/>
  <c r="O404" i="3"/>
  <c r="O273" i="3"/>
  <c r="P553" i="3"/>
  <c r="P80" i="3"/>
  <c r="O488" i="3"/>
  <c r="O430" i="3"/>
  <c r="O408" i="3"/>
  <c r="O387" i="3"/>
  <c r="O366" i="3"/>
  <c r="O329" i="3"/>
  <c r="O245" i="3"/>
  <c r="O161" i="3"/>
  <c r="P517" i="3"/>
  <c r="P58" i="3"/>
  <c r="P104" i="3"/>
  <c r="O506" i="3"/>
  <c r="O442" i="3"/>
  <c r="O378" i="3"/>
  <c r="O229" i="3"/>
  <c r="O89" i="3"/>
  <c r="P70" i="3"/>
  <c r="O531" i="3"/>
  <c r="O478" i="3"/>
  <c r="P68" i="3"/>
  <c r="P84" i="3"/>
  <c r="O95" i="3"/>
  <c r="Q95" i="3" s="1"/>
  <c r="O540" i="3"/>
  <c r="O519" i="3"/>
  <c r="O498" i="3"/>
  <c r="O476" i="3"/>
  <c r="O455" i="3"/>
  <c r="O434" i="3"/>
  <c r="O412" i="3"/>
  <c r="O391" i="3"/>
  <c r="O370" i="3"/>
  <c r="O340" i="3"/>
  <c r="O261" i="3"/>
  <c r="O177" i="3"/>
  <c r="P538" i="3"/>
  <c r="O62" i="3"/>
  <c r="P87" i="3"/>
  <c r="P93" i="3"/>
  <c r="O500" i="3"/>
  <c r="O383" i="3"/>
  <c r="O552" i="3"/>
  <c r="P100" i="3"/>
  <c r="O91" i="3"/>
  <c r="O397" i="3"/>
  <c r="O81" i="3"/>
  <c r="O446" i="3"/>
  <c r="O63" i="3"/>
  <c r="P99" i="3"/>
  <c r="O507" i="3"/>
  <c r="O422" i="3"/>
  <c r="P65" i="3"/>
  <c r="O526" i="3"/>
  <c r="O80" i="3"/>
  <c r="P63" i="3"/>
  <c r="P72" i="3"/>
  <c r="O534" i="3"/>
  <c r="O475" i="3"/>
  <c r="O390" i="3"/>
  <c r="O484" i="3"/>
  <c r="O410" i="3"/>
  <c r="O249" i="3"/>
  <c r="P61" i="3"/>
  <c r="R61" i="3" s="1"/>
  <c r="P98" i="3"/>
  <c r="O499" i="3"/>
  <c r="O68" i="3"/>
  <c r="O76" i="3"/>
  <c r="O67" i="3"/>
  <c r="P59" i="3"/>
  <c r="O71" i="3"/>
  <c r="P102" i="3"/>
  <c r="O555" i="3"/>
  <c r="O528" i="3"/>
  <c r="O496" i="3"/>
  <c r="O464" i="3"/>
  <c r="O427" i="3"/>
  <c r="O379" i="3"/>
  <c r="O285" i="3"/>
  <c r="O367" i="3"/>
  <c r="P432" i="3"/>
  <c r="P86" i="3"/>
  <c r="O536" i="3"/>
  <c r="O472" i="3"/>
  <c r="O88" i="3"/>
  <c r="P105" i="3"/>
  <c r="O59" i="3"/>
  <c r="O79" i="3"/>
  <c r="P78" i="3"/>
  <c r="O97" i="3"/>
  <c r="O539" i="3"/>
  <c r="O512" i="3"/>
  <c r="O486" i="3"/>
  <c r="O448" i="3"/>
  <c r="R448" i="3" s="1"/>
  <c r="O406" i="3"/>
  <c r="O337" i="3"/>
  <c r="O321" i="3"/>
  <c r="O297" i="3"/>
  <c r="O400" i="3"/>
  <c r="O363" i="3"/>
  <c r="O233" i="3"/>
  <c r="O213" i="3"/>
  <c r="O169" i="3"/>
  <c r="O129" i="3"/>
  <c r="P506" i="3"/>
  <c r="O505" i="3"/>
  <c r="P69" i="3"/>
  <c r="O104" i="3"/>
  <c r="O98" i="3"/>
  <c r="Q98" i="3" s="1"/>
  <c r="O553" i="3"/>
  <c r="O549" i="3"/>
  <c r="O157" i="3"/>
  <c r="O470" i="3"/>
  <c r="O443" i="3"/>
  <c r="O411" i="3"/>
  <c r="O384" i="3"/>
  <c r="O358" i="3"/>
  <c r="O257" i="3"/>
  <c r="O149" i="3"/>
  <c r="P85" i="3"/>
  <c r="O94" i="3"/>
  <c r="O485" i="3"/>
  <c r="R485" i="3" s="1"/>
  <c r="O421" i="3"/>
  <c r="P77" i="3"/>
  <c r="O96" i="3"/>
  <c r="O541" i="3"/>
  <c r="O357" i="3"/>
  <c r="O461" i="3"/>
  <c r="O377" i="3"/>
  <c r="O328" i="3"/>
  <c r="P533" i="3"/>
  <c r="P81" i="3"/>
  <c r="O102" i="3"/>
  <c r="O557" i="3"/>
  <c r="O525" i="3"/>
  <c r="O441" i="3"/>
  <c r="O139" i="3"/>
  <c r="O537" i="3"/>
  <c r="O517" i="3"/>
  <c r="Q517" i="3" s="1"/>
  <c r="O493" i="3"/>
  <c r="Q493" i="3" s="1"/>
  <c r="O473" i="3"/>
  <c r="O453" i="3"/>
  <c r="O429" i="3"/>
  <c r="O409" i="3"/>
  <c r="O389" i="3"/>
  <c r="O365" i="3"/>
  <c r="O333" i="3"/>
  <c r="O253" i="3"/>
  <c r="P544" i="3"/>
  <c r="O248" i="3"/>
  <c r="Q248" i="3" s="1"/>
  <c r="O533" i="3"/>
  <c r="Q533" i="3" s="1"/>
  <c r="O509" i="3"/>
  <c r="O489" i="3"/>
  <c r="O469" i="3"/>
  <c r="O445" i="3"/>
  <c r="O425" i="3"/>
  <c r="O405" i="3"/>
  <c r="O381" i="3"/>
  <c r="O361" i="3"/>
  <c r="O317" i="3"/>
  <c r="O221" i="3"/>
  <c r="P501" i="3"/>
  <c r="O208" i="3"/>
  <c r="O521" i="3"/>
  <c r="O501" i="3"/>
  <c r="O477" i="3"/>
  <c r="O457" i="3"/>
  <c r="O437" i="3"/>
  <c r="O413" i="3"/>
  <c r="O393" i="3"/>
  <c r="O373" i="3"/>
  <c r="O341" i="3"/>
  <c r="O269" i="3"/>
  <c r="O141" i="3"/>
  <c r="O304" i="3"/>
  <c r="O189" i="3"/>
  <c r="P522" i="3"/>
  <c r="O296" i="3"/>
  <c r="Q296" i="3" s="1"/>
  <c r="O205" i="3"/>
  <c r="O125" i="3"/>
  <c r="P400" i="3"/>
  <c r="O272" i="3"/>
  <c r="O320" i="3"/>
  <c r="O256" i="3"/>
  <c r="Q256" i="3" s="1"/>
  <c r="P476" i="3"/>
  <c r="O288" i="3"/>
  <c r="O224" i="3"/>
  <c r="O216" i="3"/>
  <c r="O246" i="3"/>
  <c r="O452" i="3"/>
  <c r="O394" i="3"/>
  <c r="O313" i="3"/>
  <c r="O65" i="3"/>
  <c r="O73" i="3"/>
  <c r="O93" i="3"/>
  <c r="O510" i="3"/>
  <c r="O456" i="3"/>
  <c r="P64" i="3"/>
  <c r="P89" i="3"/>
  <c r="P92" i="3"/>
  <c r="P67" i="3"/>
  <c r="O83" i="3"/>
  <c r="P88" i="3"/>
  <c r="O105" i="3"/>
  <c r="P94" i="3"/>
  <c r="O544" i="3"/>
  <c r="O523" i="3"/>
  <c r="O502" i="3"/>
  <c r="O480" i="3"/>
  <c r="O459" i="3"/>
  <c r="O438" i="3"/>
  <c r="O416" i="3"/>
  <c r="O395" i="3"/>
  <c r="O374" i="3"/>
  <c r="O348" i="3"/>
  <c r="O277" i="3"/>
  <c r="O193" i="3"/>
  <c r="P557" i="3"/>
  <c r="Q557" i="3" s="1"/>
  <c r="P368" i="3"/>
  <c r="P73" i="3"/>
  <c r="O100" i="3"/>
  <c r="O92" i="3"/>
  <c r="O545" i="3"/>
  <c r="O529" i="3"/>
  <c r="O513" i="3"/>
  <c r="O497" i="3"/>
  <c r="O481" i="3"/>
  <c r="O465" i="3"/>
  <c r="O449" i="3"/>
  <c r="O433" i="3"/>
  <c r="O417" i="3"/>
  <c r="O401" i="3"/>
  <c r="O385" i="3"/>
  <c r="O369" i="3"/>
  <c r="O349" i="3"/>
  <c r="O301" i="3"/>
  <c r="O237" i="3"/>
  <c r="O173" i="3"/>
  <c r="O109" i="3"/>
  <c r="P464" i="3"/>
  <c r="O312" i="3"/>
  <c r="O280" i="3"/>
  <c r="O240" i="3"/>
  <c r="O184" i="3"/>
  <c r="O152" i="3"/>
  <c r="O144" i="3"/>
  <c r="O264" i="3"/>
  <c r="Q264" i="3" s="1"/>
  <c r="O232" i="3"/>
  <c r="O200" i="3"/>
  <c r="O120" i="3"/>
  <c r="O168" i="3"/>
  <c r="O112" i="3"/>
  <c r="P556" i="3"/>
  <c r="O176" i="3"/>
  <c r="O136" i="3"/>
  <c r="P526" i="3"/>
  <c r="P516" i="3"/>
  <c r="P534" i="3"/>
  <c r="R534" i="3" s="1"/>
  <c r="O192" i="3"/>
  <c r="O160" i="3"/>
  <c r="O128" i="3"/>
  <c r="P537" i="3"/>
  <c r="Q537" i="3" s="1"/>
  <c r="P444" i="3"/>
  <c r="O355" i="3"/>
  <c r="P492" i="3"/>
  <c r="Q492" i="3" s="1"/>
  <c r="O347" i="3"/>
  <c r="O283" i="3"/>
  <c r="P548" i="3"/>
  <c r="P505" i="3"/>
  <c r="P380" i="3"/>
  <c r="O267" i="3"/>
  <c r="O219" i="3"/>
  <c r="P412" i="3"/>
  <c r="O315" i="3"/>
  <c r="O203" i="3"/>
  <c r="O187" i="3"/>
  <c r="O331" i="3"/>
  <c r="O251" i="3"/>
  <c r="O155" i="3"/>
  <c r="P509" i="3"/>
  <c r="O123" i="3"/>
  <c r="O299" i="3"/>
  <c r="O235" i="3"/>
  <c r="O171" i="3"/>
  <c r="O310" i="3"/>
  <c r="P424" i="3"/>
  <c r="Q424" i="3" s="1"/>
  <c r="O342" i="3"/>
  <c r="P551" i="3"/>
  <c r="P318" i="3"/>
  <c r="O323" i="3"/>
  <c r="O291" i="3"/>
  <c r="O259" i="3"/>
  <c r="O227" i="3"/>
  <c r="O195" i="3"/>
  <c r="O163" i="3"/>
  <c r="O131" i="3"/>
  <c r="P530" i="3"/>
  <c r="P360" i="3"/>
  <c r="Q360" i="3" s="1"/>
  <c r="O294" i="3"/>
  <c r="O214" i="3"/>
  <c r="P491" i="3"/>
  <c r="O278" i="3"/>
  <c r="O182" i="3"/>
  <c r="P261" i="3"/>
  <c r="O339" i="3"/>
  <c r="O307" i="3"/>
  <c r="O275" i="3"/>
  <c r="O243" i="3"/>
  <c r="O211" i="3"/>
  <c r="O179" i="3"/>
  <c r="O147" i="3"/>
  <c r="O115" i="3"/>
  <c r="P481" i="3"/>
  <c r="O326" i="3"/>
  <c r="O262" i="3"/>
  <c r="O150" i="3"/>
  <c r="O324" i="3"/>
  <c r="O308" i="3"/>
  <c r="O292" i="3"/>
  <c r="O276" i="3"/>
  <c r="O260" i="3"/>
  <c r="Q260" i="3" s="1"/>
  <c r="O244" i="3"/>
  <c r="O228" i="3"/>
  <c r="O212" i="3"/>
  <c r="O196" i="3"/>
  <c r="O180" i="3"/>
  <c r="O164" i="3"/>
  <c r="Q164" i="3" s="1"/>
  <c r="O148" i="3"/>
  <c r="Q148" i="3" s="1"/>
  <c r="O132" i="3"/>
  <c r="O116" i="3"/>
  <c r="P552" i="3"/>
  <c r="P532" i="3"/>
  <c r="P510" i="3"/>
  <c r="P484" i="3"/>
  <c r="P428" i="3"/>
  <c r="P364" i="3"/>
  <c r="O343" i="3"/>
  <c r="O327" i="3"/>
  <c r="O311" i="3"/>
  <c r="O295" i="3"/>
  <c r="O279" i="3"/>
  <c r="O263" i="3"/>
  <c r="O247" i="3"/>
  <c r="O231" i="3"/>
  <c r="O215" i="3"/>
  <c r="O199" i="3"/>
  <c r="O183" i="3"/>
  <c r="O167" i="3"/>
  <c r="O151" i="3"/>
  <c r="O135" i="3"/>
  <c r="O119" i="3"/>
  <c r="P546" i="3"/>
  <c r="P504" i="3"/>
  <c r="P408" i="3"/>
  <c r="O338" i="3"/>
  <c r="O306" i="3"/>
  <c r="O274" i="3"/>
  <c r="O230" i="3"/>
  <c r="O166" i="3"/>
  <c r="P513" i="3"/>
  <c r="P475" i="3"/>
  <c r="P398" i="3"/>
  <c r="P372" i="3"/>
  <c r="P427" i="3"/>
  <c r="P171" i="3"/>
  <c r="O332" i="3"/>
  <c r="O316" i="3"/>
  <c r="O300" i="3"/>
  <c r="O284" i="3"/>
  <c r="O268" i="3"/>
  <c r="O252" i="3"/>
  <c r="O236" i="3"/>
  <c r="O220" i="3"/>
  <c r="O204" i="3"/>
  <c r="O188" i="3"/>
  <c r="O172" i="3"/>
  <c r="O156" i="3"/>
  <c r="Q156" i="3" s="1"/>
  <c r="O140" i="3"/>
  <c r="O124" i="3"/>
  <c r="O108" i="3"/>
  <c r="P542" i="3"/>
  <c r="P521" i="3"/>
  <c r="P500" i="3"/>
  <c r="P460" i="3"/>
  <c r="P396" i="3"/>
  <c r="O351" i="3"/>
  <c r="O335" i="3"/>
  <c r="O319" i="3"/>
  <c r="O303" i="3"/>
  <c r="O287" i="3"/>
  <c r="O271" i="3"/>
  <c r="O255" i="3"/>
  <c r="O239" i="3"/>
  <c r="O223" i="3"/>
  <c r="O207" i="3"/>
  <c r="O191" i="3"/>
  <c r="O175" i="3"/>
  <c r="O159" i="3"/>
  <c r="O143" i="3"/>
  <c r="O127" i="3"/>
  <c r="O111" i="3"/>
  <c r="P525" i="3"/>
  <c r="P472" i="3"/>
  <c r="O354" i="3"/>
  <c r="O322" i="3"/>
  <c r="O290" i="3"/>
  <c r="O258" i="3"/>
  <c r="O198" i="3"/>
  <c r="O134" i="3"/>
  <c r="P539" i="3"/>
  <c r="P411" i="3"/>
  <c r="P494" i="3"/>
  <c r="P393" i="3"/>
  <c r="P257" i="3"/>
  <c r="P347" i="3"/>
  <c r="P193" i="3"/>
  <c r="P554" i="3"/>
  <c r="P436" i="3"/>
  <c r="P507" i="3"/>
  <c r="P443" i="3"/>
  <c r="P379" i="3"/>
  <c r="P315" i="3"/>
  <c r="P165" i="3"/>
  <c r="P446" i="3"/>
  <c r="P366" i="3"/>
  <c r="P235" i="3"/>
  <c r="P457" i="3"/>
  <c r="P345" i="3"/>
  <c r="P348" i="3"/>
  <c r="P363" i="3"/>
  <c r="P293" i="3"/>
  <c r="P133" i="3"/>
  <c r="P430" i="3"/>
  <c r="P334" i="3"/>
  <c r="P203" i="3"/>
  <c r="P441" i="3"/>
  <c r="P313" i="3"/>
  <c r="P303" i="3"/>
  <c r="O118" i="3"/>
  <c r="Q118" i="3" s="1"/>
  <c r="P488" i="3"/>
  <c r="P523" i="3"/>
  <c r="P459" i="3"/>
  <c r="P395" i="3"/>
  <c r="P331" i="3"/>
  <c r="P229" i="3"/>
  <c r="P462" i="3"/>
  <c r="P382" i="3"/>
  <c r="P299" i="3"/>
  <c r="P473" i="3"/>
  <c r="P377" i="3"/>
  <c r="P225" i="3"/>
  <c r="P409" i="3"/>
  <c r="P329" i="3"/>
  <c r="P279" i="3"/>
  <c r="P336" i="3"/>
  <c r="P145" i="3"/>
  <c r="P185" i="3"/>
  <c r="P217" i="3"/>
  <c r="P249" i="3"/>
  <c r="P281" i="3"/>
  <c r="P309" i="3"/>
  <c r="P325" i="3"/>
  <c r="P341" i="3"/>
  <c r="P357" i="3"/>
  <c r="P373" i="3"/>
  <c r="P389" i="3"/>
  <c r="P405" i="3"/>
  <c r="P421" i="3"/>
  <c r="P437" i="3"/>
  <c r="P453" i="3"/>
  <c r="P469" i="3"/>
  <c r="P131" i="3"/>
  <c r="P163" i="3"/>
  <c r="P195" i="3"/>
  <c r="P227" i="3"/>
  <c r="P259" i="3"/>
  <c r="P291" i="3"/>
  <c r="P314" i="3"/>
  <c r="P330" i="3"/>
  <c r="P346" i="3"/>
  <c r="P362" i="3"/>
  <c r="P378" i="3"/>
  <c r="P394" i="3"/>
  <c r="P410" i="3"/>
  <c r="P426" i="3"/>
  <c r="R426" i="3" s="1"/>
  <c r="P442" i="3"/>
  <c r="P458" i="3"/>
  <c r="P474" i="3"/>
  <c r="P490" i="3"/>
  <c r="P125" i="3"/>
  <c r="P157" i="3"/>
  <c r="P189" i="3"/>
  <c r="P221" i="3"/>
  <c r="P253" i="3"/>
  <c r="P285" i="3"/>
  <c r="P311" i="3"/>
  <c r="P327" i="3"/>
  <c r="P343" i="3"/>
  <c r="P359" i="3"/>
  <c r="P375" i="3"/>
  <c r="P391" i="3"/>
  <c r="P407" i="3"/>
  <c r="P423" i="3"/>
  <c r="P439" i="3"/>
  <c r="P455" i="3"/>
  <c r="P471" i="3"/>
  <c r="P487" i="3"/>
  <c r="P503" i="3"/>
  <c r="P519" i="3"/>
  <c r="P535" i="3"/>
  <c r="P356" i="3"/>
  <c r="P420" i="3"/>
  <c r="P480" i="3"/>
  <c r="P508" i="3"/>
  <c r="P529" i="3"/>
  <c r="P550" i="3"/>
  <c r="O114" i="3"/>
  <c r="O130" i="3"/>
  <c r="O146" i="3"/>
  <c r="O162" i="3"/>
  <c r="O178" i="3"/>
  <c r="O194" i="3"/>
  <c r="O210" i="3"/>
  <c r="O226" i="3"/>
  <c r="O242" i="3"/>
  <c r="P231" i="3"/>
  <c r="P316" i="3"/>
  <c r="P109" i="3"/>
  <c r="P169" i="3"/>
  <c r="P201" i="3"/>
  <c r="P233" i="3"/>
  <c r="P265" i="3"/>
  <c r="P297" i="3"/>
  <c r="P317" i="3"/>
  <c r="P333" i="3"/>
  <c r="P349" i="3"/>
  <c r="P365" i="3"/>
  <c r="P381" i="3"/>
  <c r="P397" i="3"/>
  <c r="P413" i="3"/>
  <c r="P429" i="3"/>
  <c r="P445" i="3"/>
  <c r="P461" i="3"/>
  <c r="P113" i="3"/>
  <c r="P147" i="3"/>
  <c r="P179" i="3"/>
  <c r="P211" i="3"/>
  <c r="P243" i="3"/>
  <c r="P275" i="3"/>
  <c r="P306" i="3"/>
  <c r="P322" i="3"/>
  <c r="P338" i="3"/>
  <c r="P354" i="3"/>
  <c r="P370" i="3"/>
  <c r="P386" i="3"/>
  <c r="P402" i="3"/>
  <c r="P418" i="3"/>
  <c r="P434" i="3"/>
  <c r="P450" i="3"/>
  <c r="P466" i="3"/>
  <c r="P482" i="3"/>
  <c r="P498" i="3"/>
  <c r="P141" i="3"/>
  <c r="P173" i="3"/>
  <c r="P205" i="3"/>
  <c r="P237" i="3"/>
  <c r="P269" i="3"/>
  <c r="P301" i="3"/>
  <c r="P319" i="3"/>
  <c r="P335" i="3"/>
  <c r="P351" i="3"/>
  <c r="P367" i="3"/>
  <c r="P383" i="3"/>
  <c r="P399" i="3"/>
  <c r="P415" i="3"/>
  <c r="P431" i="3"/>
  <c r="P447" i="3"/>
  <c r="P463" i="3"/>
  <c r="P479" i="3"/>
  <c r="P495" i="3"/>
  <c r="P511" i="3"/>
  <c r="P527" i="3"/>
  <c r="P543" i="3"/>
  <c r="P388" i="3"/>
  <c r="P452" i="3"/>
  <c r="P496" i="3"/>
  <c r="P518" i="3"/>
  <c r="P540" i="3"/>
  <c r="O106" i="3"/>
  <c r="O122" i="3"/>
  <c r="O138" i="3"/>
  <c r="O154" i="3"/>
  <c r="O170" i="3"/>
  <c r="O186" i="3"/>
  <c r="O202" i="3"/>
  <c r="Q202" i="3" s="1"/>
  <c r="O218" i="3"/>
  <c r="O234" i="3"/>
  <c r="O250" i="3"/>
  <c r="O266" i="3"/>
  <c r="Q266" i="3" s="1"/>
  <c r="O282" i="3"/>
  <c r="O298" i="3"/>
  <c r="O314" i="3"/>
  <c r="Q314" i="3" s="1"/>
  <c r="O330" i="3"/>
  <c r="Q330" i="3" s="1"/>
  <c r="O346" i="3"/>
  <c r="Q346" i="3" s="1"/>
  <c r="P376" i="3"/>
  <c r="P440" i="3"/>
  <c r="P489" i="3"/>
  <c r="P514" i="3"/>
  <c r="Q514" i="3" s="1"/>
  <c r="P536" i="3"/>
  <c r="P555" i="3"/>
  <c r="P263" i="3"/>
  <c r="P324" i="3"/>
  <c r="P129" i="3"/>
  <c r="P177" i="3"/>
  <c r="P209" i="3"/>
  <c r="P241" i="3"/>
  <c r="P273" i="3"/>
  <c r="P305" i="3"/>
  <c r="P321" i="3"/>
  <c r="P337" i="3"/>
  <c r="P353" i="3"/>
  <c r="P369" i="3"/>
  <c r="P385" i="3"/>
  <c r="P401" i="3"/>
  <c r="P417" i="3"/>
  <c r="P433" i="3"/>
  <c r="P449" i="3"/>
  <c r="P465" i="3"/>
  <c r="P123" i="3"/>
  <c r="P155" i="3"/>
  <c r="P187" i="3"/>
  <c r="P219" i="3"/>
  <c r="P251" i="3"/>
  <c r="P283" i="3"/>
  <c r="P310" i="3"/>
  <c r="P326" i="3"/>
  <c r="P342" i="3"/>
  <c r="P358" i="3"/>
  <c r="P374" i="3"/>
  <c r="P390" i="3"/>
  <c r="P406" i="3"/>
  <c r="P422" i="3"/>
  <c r="P438" i="3"/>
  <c r="P454" i="3"/>
  <c r="P470" i="3"/>
  <c r="P486" i="3"/>
  <c r="P117" i="3"/>
  <c r="P149" i="3"/>
  <c r="P181" i="3"/>
  <c r="P213" i="3"/>
  <c r="P245" i="3"/>
  <c r="P277" i="3"/>
  <c r="P307" i="3"/>
  <c r="P323" i="3"/>
  <c r="P339" i="3"/>
  <c r="P355" i="3"/>
  <c r="P371" i="3"/>
  <c r="P387" i="3"/>
  <c r="P403" i="3"/>
  <c r="Q403" i="3" s="1"/>
  <c r="P419" i="3"/>
  <c r="P435" i="3"/>
  <c r="P451" i="3"/>
  <c r="P467" i="3"/>
  <c r="P483" i="3"/>
  <c r="P499" i="3"/>
  <c r="P515" i="3"/>
  <c r="P531" i="3"/>
  <c r="P547" i="3"/>
  <c r="P404" i="3"/>
  <c r="P468" i="3"/>
  <c r="Q468" i="3" s="1"/>
  <c r="P502" i="3"/>
  <c r="P524" i="3"/>
  <c r="P545" i="3"/>
  <c r="O110" i="3"/>
  <c r="O126" i="3"/>
  <c r="O142" i="3"/>
  <c r="O158" i="3"/>
  <c r="O174" i="3"/>
  <c r="O190" i="3"/>
  <c r="O206" i="3"/>
  <c r="O222" i="3"/>
  <c r="O238" i="3"/>
  <c r="O254" i="3"/>
  <c r="O270" i="3"/>
  <c r="O286" i="3"/>
  <c r="O302" i="3"/>
  <c r="O318" i="3"/>
  <c r="O334" i="3"/>
  <c r="O350" i="3"/>
  <c r="P392" i="3"/>
  <c r="P456" i="3"/>
  <c r="P497" i="3"/>
  <c r="P520" i="3"/>
  <c r="P541" i="3"/>
  <c r="O107" i="3"/>
  <c r="P197" i="3"/>
  <c r="P478" i="3"/>
  <c r="P414" i="3"/>
  <c r="P350" i="3"/>
  <c r="P267" i="3"/>
  <c r="P139" i="3"/>
  <c r="P425" i="3"/>
  <c r="P361" i="3"/>
  <c r="P289" i="3"/>
  <c r="P161" i="3"/>
  <c r="P239" i="3"/>
  <c r="P137" i="3"/>
  <c r="P352" i="3"/>
  <c r="P332" i="3"/>
  <c r="P308" i="3"/>
  <c r="P271" i="3"/>
  <c r="R271" i="3" s="1"/>
  <c r="P119" i="3"/>
  <c r="P106" i="3"/>
  <c r="P153" i="3"/>
  <c r="P121" i="3"/>
  <c r="P340" i="3"/>
  <c r="P320" i="3"/>
  <c r="P295" i="3"/>
  <c r="P127" i="3"/>
  <c r="P199" i="3"/>
  <c r="P247" i="3"/>
  <c r="P183" i="3"/>
  <c r="P167" i="3"/>
  <c r="P207" i="3"/>
  <c r="P151" i="3"/>
  <c r="P143" i="3"/>
  <c r="P215" i="3"/>
  <c r="P175" i="3"/>
  <c r="P135" i="3"/>
  <c r="P344" i="3"/>
  <c r="P328" i="3"/>
  <c r="P312" i="3"/>
  <c r="P287" i="3"/>
  <c r="P255" i="3"/>
  <c r="P223" i="3"/>
  <c r="P191" i="3"/>
  <c r="P159" i="3"/>
  <c r="W58" i="3"/>
  <c r="Y62" i="3" s="1"/>
  <c r="Z62" i="3" s="1"/>
  <c r="W60" i="3"/>
  <c r="R29" i="1"/>
  <c r="R43" i="1" s="1"/>
  <c r="R34" i="1"/>
  <c r="R45" i="1" s="1"/>
  <c r="R46" i="1" s="1"/>
  <c r="R31" i="1"/>
  <c r="T43" i="1"/>
  <c r="T44" i="1" s="1"/>
  <c r="F47" i="1"/>
  <c r="F50" i="1" s="1"/>
  <c r="F31" i="1"/>
  <c r="F29" i="1" s="1"/>
  <c r="F39" i="1" s="1"/>
  <c r="F34" i="1"/>
  <c r="F45" i="1" s="1"/>
  <c r="F49" i="1" s="1"/>
  <c r="F37" i="1"/>
  <c r="R41" i="1"/>
  <c r="K20" i="1"/>
  <c r="Q137" i="3" l="1"/>
  <c r="Q107" i="3"/>
  <c r="Q138" i="3"/>
  <c r="Q543" i="3"/>
  <c r="Q292" i="3"/>
  <c r="Q224" i="3"/>
  <c r="R87" i="3"/>
  <c r="Q490" i="3"/>
  <c r="Q220" i="3"/>
  <c r="Q206" i="3"/>
  <c r="Q142" i="3"/>
  <c r="Q241" i="3"/>
  <c r="Q180" i="3"/>
  <c r="R120" i="3"/>
  <c r="Q99" i="3"/>
  <c r="Q352" i="3"/>
  <c r="Q524" i="3"/>
  <c r="Q540" i="3"/>
  <c r="Q113" i="3"/>
  <c r="Q420" i="3"/>
  <c r="Q474" i="3"/>
  <c r="Q494" i="3"/>
  <c r="R460" i="3"/>
  <c r="Q236" i="3"/>
  <c r="Q532" i="3"/>
  <c r="Q276" i="3"/>
  <c r="Q184" i="3"/>
  <c r="Q535" i="3"/>
  <c r="R520" i="3"/>
  <c r="Q289" i="3"/>
  <c r="Q270" i="3"/>
  <c r="Q419" i="3"/>
  <c r="Q149" i="3"/>
  <c r="Q218" i="3"/>
  <c r="Q388" i="3"/>
  <c r="Q495" i="3"/>
  <c r="Q466" i="3"/>
  <c r="Q265" i="3"/>
  <c r="Q226" i="3"/>
  <c r="Q162" i="3"/>
  <c r="Q439" i="3"/>
  <c r="Q375" i="3"/>
  <c r="Q145" i="3"/>
  <c r="Q488" i="3"/>
  <c r="Q133" i="3"/>
  <c r="Q345" i="3"/>
  <c r="Q198" i="3"/>
  <c r="Q108" i="3"/>
  <c r="R546" i="3"/>
  <c r="Q364" i="3"/>
  <c r="Q212" i="3"/>
  <c r="Q150" i="3"/>
  <c r="Q115" i="3"/>
  <c r="Q261" i="3"/>
  <c r="Q214" i="3"/>
  <c r="Q246" i="3"/>
  <c r="Q70" i="3"/>
  <c r="R82" i="3"/>
  <c r="Q462" i="3"/>
  <c r="Q284" i="3"/>
  <c r="Q121" i="3"/>
  <c r="Q507" i="3"/>
  <c r="Q158" i="3"/>
  <c r="Q404" i="3"/>
  <c r="R406" i="3"/>
  <c r="Q536" i="3"/>
  <c r="Q234" i="3"/>
  <c r="Q170" i="3"/>
  <c r="Q511" i="3"/>
  <c r="Q169" i="3"/>
  <c r="R309" i="3"/>
  <c r="Q366" i="3"/>
  <c r="Q134" i="3"/>
  <c r="Q111" i="3"/>
  <c r="Q475" i="3"/>
  <c r="R504" i="3"/>
  <c r="Q160" i="3"/>
  <c r="Q112" i="3"/>
  <c r="Q77" i="3"/>
  <c r="Q384" i="3"/>
  <c r="Q512" i="3"/>
  <c r="Q249" i="3"/>
  <c r="Q293" i="3"/>
  <c r="Q124" i="3"/>
  <c r="Q262" i="3"/>
  <c r="Q87" i="3"/>
  <c r="Q288" i="3"/>
  <c r="Q285" i="3"/>
  <c r="Q336" i="3"/>
  <c r="Q165" i="3"/>
  <c r="Q411" i="3"/>
  <c r="Q428" i="3"/>
  <c r="Q552" i="3"/>
  <c r="R70" i="3"/>
  <c r="Q551" i="3"/>
  <c r="Q412" i="3"/>
  <c r="Q128" i="3"/>
  <c r="Q556" i="3"/>
  <c r="Q522" i="3"/>
  <c r="R528" i="3"/>
  <c r="Q82" i="3"/>
  <c r="Q467" i="3"/>
  <c r="Q146" i="3"/>
  <c r="Q188" i="3"/>
  <c r="Q252" i="3"/>
  <c r="Q392" i="3"/>
  <c r="Q496" i="3"/>
  <c r="Q463" i="3"/>
  <c r="Q498" i="3"/>
  <c r="Q442" i="3"/>
  <c r="Q325" i="3"/>
  <c r="Q539" i="3"/>
  <c r="Q380" i="3"/>
  <c r="Q64" i="3"/>
  <c r="Q272" i="3"/>
  <c r="R101" i="3"/>
  <c r="Q152" i="3"/>
  <c r="R400" i="3"/>
  <c r="Q538" i="3"/>
  <c r="R90" i="3"/>
  <c r="Q225" i="3"/>
  <c r="Q407" i="3"/>
  <c r="Q230" i="3"/>
  <c r="Q90" i="3"/>
  <c r="Q450" i="3"/>
  <c r="Q382" i="3"/>
  <c r="Q216" i="3"/>
  <c r="Q298" i="3"/>
  <c r="Q114" i="3"/>
  <c r="Q554" i="3"/>
  <c r="Q132" i="3"/>
  <c r="Q280" i="3"/>
  <c r="Q528" i="3"/>
  <c r="Q60" i="3"/>
  <c r="Q74" i="3"/>
  <c r="R67" i="3"/>
  <c r="R84" i="3"/>
  <c r="Q57" i="3"/>
  <c r="R71" i="3"/>
  <c r="Q549" i="3"/>
  <c r="Q117" i="3"/>
  <c r="Q71" i="3"/>
  <c r="Q190" i="3"/>
  <c r="R245" i="3"/>
  <c r="Q321" i="3"/>
  <c r="Q500" i="3"/>
  <c r="Q228" i="3"/>
  <c r="Q84" i="3"/>
  <c r="Q548" i="3"/>
  <c r="Q232" i="3"/>
  <c r="Q85" i="3"/>
  <c r="Q76" i="3"/>
  <c r="R556" i="3"/>
  <c r="R538" i="3"/>
  <c r="R95" i="3"/>
  <c r="Q153" i="3"/>
  <c r="Q414" i="3"/>
  <c r="Q515" i="3"/>
  <c r="Q422" i="3"/>
  <c r="Q305" i="3"/>
  <c r="Q186" i="3"/>
  <c r="Q370" i="3"/>
  <c r="Q508" i="3"/>
  <c r="Q471" i="3"/>
  <c r="Q408" i="3"/>
  <c r="Q278" i="3"/>
  <c r="Q192" i="3"/>
  <c r="Q136" i="3"/>
  <c r="Q240" i="3"/>
  <c r="Q368" i="3"/>
  <c r="Q69" i="3"/>
  <c r="Q209" i="3"/>
  <c r="Q386" i="3"/>
  <c r="Q423" i="3"/>
  <c r="Q294" i="3"/>
  <c r="Q478" i="3"/>
  <c r="Q286" i="3"/>
  <c r="Q181" i="3"/>
  <c r="Q376" i="3"/>
  <c r="Q447" i="3"/>
  <c r="R455" i="3"/>
  <c r="R362" i="3"/>
  <c r="Q185" i="3"/>
  <c r="Q229" i="3"/>
  <c r="Q542" i="3"/>
  <c r="R491" i="3"/>
  <c r="Q144" i="3"/>
  <c r="Q553" i="3"/>
  <c r="R86" i="3"/>
  <c r="R59" i="3"/>
  <c r="R99" i="3"/>
  <c r="R68" i="3"/>
  <c r="R80" i="3"/>
  <c r="Q91" i="3"/>
  <c r="R72" i="3"/>
  <c r="R57" i="3"/>
  <c r="Q391" i="3"/>
  <c r="Q329" i="3"/>
  <c r="R430" i="3"/>
  <c r="R396" i="3"/>
  <c r="Q274" i="3"/>
  <c r="Q196" i="3"/>
  <c r="Q530" i="3"/>
  <c r="Q435" i="3"/>
  <c r="R97" i="3"/>
  <c r="Q66" i="3"/>
  <c r="Q222" i="3"/>
  <c r="Q273" i="3"/>
  <c r="R78" i="3"/>
  <c r="R66" i="3"/>
  <c r="R91" i="3"/>
  <c r="Q534" i="3"/>
  <c r="Q80" i="3"/>
  <c r="R103" i="3"/>
  <c r="Q161" i="3"/>
  <c r="Q499" i="3"/>
  <c r="Q371" i="3"/>
  <c r="R353" i="3"/>
  <c r="Q383" i="3"/>
  <c r="R482" i="3"/>
  <c r="Q418" i="3"/>
  <c r="R297" i="3"/>
  <c r="Q519" i="3"/>
  <c r="Q379" i="3"/>
  <c r="Q340" i="3"/>
  <c r="Q197" i="3"/>
  <c r="Q547" i="3"/>
  <c r="Q454" i="3"/>
  <c r="Q154" i="3"/>
  <c r="Q431" i="3"/>
  <c r="Q402" i="3"/>
  <c r="Q550" i="3"/>
  <c r="Q410" i="3"/>
  <c r="Q300" i="3"/>
  <c r="Q485" i="3"/>
  <c r="Q103" i="3"/>
  <c r="Q68" i="3"/>
  <c r="Q448" i="3"/>
  <c r="Q86" i="3"/>
  <c r="R505" i="3"/>
  <c r="Q200" i="3"/>
  <c r="R553" i="3"/>
  <c r="R272" i="3"/>
  <c r="Q254" i="3"/>
  <c r="Q479" i="3"/>
  <c r="Q415" i="3"/>
  <c r="Q397" i="3"/>
  <c r="Q210" i="3"/>
  <c r="Q487" i="3"/>
  <c r="Q458" i="3"/>
  <c r="Q258" i="3"/>
  <c r="Q372" i="3"/>
  <c r="Q166" i="3"/>
  <c r="Q59" i="3"/>
  <c r="Q101" i="3"/>
  <c r="Q526" i="3"/>
  <c r="Q416" i="3"/>
  <c r="Q105" i="3"/>
  <c r="Q476" i="3"/>
  <c r="Q58" i="3"/>
  <c r="Q62" i="3"/>
  <c r="Q75" i="3"/>
  <c r="R549" i="3"/>
  <c r="Q97" i="3"/>
  <c r="R74" i="3"/>
  <c r="R60" i="3"/>
  <c r="Q451" i="3"/>
  <c r="Q387" i="3"/>
  <c r="Q213" i="3"/>
  <c r="Q440" i="3"/>
  <c r="Q250" i="3"/>
  <c r="Q434" i="3"/>
  <c r="R217" i="3"/>
  <c r="Q116" i="3"/>
  <c r="Q89" i="3"/>
  <c r="Q304" i="3"/>
  <c r="Q208" i="3"/>
  <c r="R58" i="3"/>
  <c r="Q483" i="3"/>
  <c r="Q282" i="3"/>
  <c r="Q503" i="3"/>
  <c r="Q281" i="3"/>
  <c r="Q172" i="3"/>
  <c r="Q444" i="3"/>
  <c r="Q168" i="3"/>
  <c r="Q93" i="3"/>
  <c r="R62" i="3"/>
  <c r="R216" i="3"/>
  <c r="Q344" i="3"/>
  <c r="R75" i="3"/>
  <c r="Q126" i="3"/>
  <c r="Q502" i="3"/>
  <c r="Q531" i="3"/>
  <c r="Q518" i="3"/>
  <c r="Q356" i="3"/>
  <c r="Q359" i="3"/>
  <c r="Q182" i="3"/>
  <c r="Q176" i="3"/>
  <c r="R83" i="3"/>
  <c r="R477" i="3"/>
  <c r="Q177" i="3"/>
  <c r="Q122" i="3"/>
  <c r="Q527" i="3"/>
  <c r="Q399" i="3"/>
  <c r="Q201" i="3"/>
  <c r="Q378" i="3"/>
  <c r="Q436" i="3"/>
  <c r="Q290" i="3"/>
  <c r="Q398" i="3"/>
  <c r="Q244" i="3"/>
  <c r="Q516" i="3"/>
  <c r="Q100" i="3"/>
  <c r="R476" i="3"/>
  <c r="Q96" i="3"/>
  <c r="Q432" i="3"/>
  <c r="Q506" i="3"/>
  <c r="Q72" i="3"/>
  <c r="Q81" i="3"/>
  <c r="Q104" i="3"/>
  <c r="Q79" i="3"/>
  <c r="R416" i="3"/>
  <c r="Q78" i="3"/>
  <c r="R512" i="3"/>
  <c r="R432" i="3"/>
  <c r="R506" i="3"/>
  <c r="Q446" i="3"/>
  <c r="Q427" i="3"/>
  <c r="Q67" i="3"/>
  <c r="Q65" i="3"/>
  <c r="Q400" i="3"/>
  <c r="Q486" i="3"/>
  <c r="Q555" i="3"/>
  <c r="R256" i="3"/>
  <c r="Q484" i="3"/>
  <c r="Q88" i="3"/>
  <c r="Q63" i="3"/>
  <c r="R105" i="3"/>
  <c r="R63" i="3"/>
  <c r="R129" i="3"/>
  <c r="R89" i="3"/>
  <c r="R444" i="3"/>
  <c r="R76" i="3"/>
  <c r="Q61" i="3"/>
  <c r="R384" i="3"/>
  <c r="R208" i="3"/>
  <c r="Q390" i="3"/>
  <c r="R517" i="3"/>
  <c r="Q337" i="3"/>
  <c r="Q367" i="3"/>
  <c r="R85" i="3"/>
  <c r="R79" i="3"/>
  <c r="Q361" i="3"/>
  <c r="Q472" i="3"/>
  <c r="Q102" i="3"/>
  <c r="Q464" i="3"/>
  <c r="R224" i="3"/>
  <c r="R264" i="3"/>
  <c r="R104" i="3"/>
  <c r="R530" i="3"/>
  <c r="R533" i="3"/>
  <c r="R368" i="3"/>
  <c r="R88" i="3"/>
  <c r="Q445" i="3"/>
  <c r="Q363" i="3"/>
  <c r="R160" i="3"/>
  <c r="R493" i="3"/>
  <c r="R232" i="3"/>
  <c r="Q355" i="3"/>
  <c r="Q277" i="3"/>
  <c r="Q465" i="3"/>
  <c r="Q401" i="3"/>
  <c r="Q301" i="3"/>
  <c r="Q461" i="3"/>
  <c r="Q233" i="3"/>
  <c r="R81" i="3"/>
  <c r="R112" i="3"/>
  <c r="R526" i="3"/>
  <c r="Q425" i="3"/>
  <c r="Q358" i="3"/>
  <c r="R464" i="3"/>
  <c r="R96" i="3"/>
  <c r="R98" i="3"/>
  <c r="R184" i="3"/>
  <c r="Q470" i="3"/>
  <c r="Q437" i="3"/>
  <c r="Q189" i="3"/>
  <c r="Q409" i="3"/>
  <c r="Q441" i="3"/>
  <c r="R69" i="3"/>
  <c r="Q421" i="3"/>
  <c r="Q477" i="3"/>
  <c r="R93" i="3"/>
  <c r="R77" i="3"/>
  <c r="R240" i="3"/>
  <c r="R304" i="3"/>
  <c r="R168" i="3"/>
  <c r="Q320" i="3"/>
  <c r="Q545" i="3"/>
  <c r="R417" i="3"/>
  <c r="Q205" i="3"/>
  <c r="Q429" i="3"/>
  <c r="Q373" i="3"/>
  <c r="Q523" i="3"/>
  <c r="Q348" i="3"/>
  <c r="Q349" i="3"/>
  <c r="Q109" i="3"/>
  <c r="Q438" i="3"/>
  <c r="Q333" i="3"/>
  <c r="Q157" i="3"/>
  <c r="Q394" i="3"/>
  <c r="Q457" i="3"/>
  <c r="Q525" i="3"/>
  <c r="Q529" i="3"/>
  <c r="Q341" i="3"/>
  <c r="Q283" i="3"/>
  <c r="Q317" i="3"/>
  <c r="Q253" i="3"/>
  <c r="Q125" i="3"/>
  <c r="Q521" i="3"/>
  <c r="R509" i="3"/>
  <c r="Q92" i="3"/>
  <c r="Q313" i="3"/>
  <c r="R510" i="3"/>
  <c r="Q94" i="3"/>
  <c r="Q443" i="3"/>
  <c r="Q257" i="3"/>
  <c r="R522" i="3"/>
  <c r="Q541" i="3"/>
  <c r="Q365" i="3"/>
  <c r="Q393" i="3"/>
  <c r="Q312" i="3"/>
  <c r="Q357" i="3"/>
  <c r="R94" i="3"/>
  <c r="R548" i="3"/>
  <c r="R65" i="3"/>
  <c r="R246" i="3"/>
  <c r="R102" i="3"/>
  <c r="R516" i="3"/>
  <c r="R128" i="3"/>
  <c r="R152" i="3"/>
  <c r="R200" i="3"/>
  <c r="Q237" i="3"/>
  <c r="Q389" i="3"/>
  <c r="Q377" i="3"/>
  <c r="R100" i="3"/>
  <c r="R139" i="3"/>
  <c r="Q480" i="3"/>
  <c r="Q221" i="3"/>
  <c r="R473" i="3"/>
  <c r="Q219" i="3"/>
  <c r="Q413" i="3"/>
  <c r="Q193" i="3"/>
  <c r="Q513" i="3"/>
  <c r="Q456" i="3"/>
  <c r="Q449" i="3"/>
  <c r="Q385" i="3"/>
  <c r="Q489" i="3"/>
  <c r="Q269" i="3"/>
  <c r="Q405" i="3"/>
  <c r="Q395" i="3"/>
  <c r="Q203" i="3"/>
  <c r="Q544" i="3"/>
  <c r="R501" i="3"/>
  <c r="R537" i="3"/>
  <c r="R557" i="3"/>
  <c r="R519" i="3"/>
  <c r="Q83" i="3"/>
  <c r="R64" i="3"/>
  <c r="R329" i="3"/>
  <c r="Q328" i="3"/>
  <c r="R296" i="3"/>
  <c r="R248" i="3"/>
  <c r="Q374" i="3"/>
  <c r="Q187" i="3"/>
  <c r="Q141" i="3"/>
  <c r="Q469" i="3"/>
  <c r="R92" i="3"/>
  <c r="R544" i="3"/>
  <c r="R492" i="3"/>
  <c r="R288" i="3"/>
  <c r="R280" i="3"/>
  <c r="Q433" i="3"/>
  <c r="Q369" i="3"/>
  <c r="Q381" i="3"/>
  <c r="Q453" i="3"/>
  <c r="Q459" i="3"/>
  <c r="Q481" i="3"/>
  <c r="Q501" i="3"/>
  <c r="Q73" i="3"/>
  <c r="R73" i="3"/>
  <c r="R144" i="3"/>
  <c r="Q452" i="3"/>
  <c r="Q120" i="3"/>
  <c r="Q505" i="3"/>
  <c r="R176" i="3"/>
  <c r="R424" i="3"/>
  <c r="Q497" i="3"/>
  <c r="Q173" i="3"/>
  <c r="R299" i="3"/>
  <c r="R213" i="3"/>
  <c r="R192" i="3"/>
  <c r="R380" i="3"/>
  <c r="R412" i="3"/>
  <c r="R136" i="3"/>
  <c r="Q331" i="3"/>
  <c r="Q347" i="3"/>
  <c r="Q267" i="3"/>
  <c r="Q235" i="3"/>
  <c r="Q315" i="3"/>
  <c r="Q310" i="3"/>
  <c r="Q509" i="3"/>
  <c r="Q251" i="3"/>
  <c r="Q155" i="3"/>
  <c r="Q123" i="3"/>
  <c r="R386" i="3"/>
  <c r="Q171" i="3"/>
  <c r="R131" i="3"/>
  <c r="R427" i="3"/>
  <c r="R150" i="3"/>
  <c r="R543" i="3"/>
  <c r="R394" i="3"/>
  <c r="R502" i="3"/>
  <c r="R295" i="3"/>
  <c r="R127" i="3"/>
  <c r="R551" i="3"/>
  <c r="R446" i="3"/>
  <c r="R529" i="3"/>
  <c r="R323" i="3"/>
  <c r="R356" i="3"/>
  <c r="R203" i="3"/>
  <c r="R143" i="3"/>
  <c r="R336" i="3"/>
  <c r="R359" i="3"/>
  <c r="R247" i="3"/>
  <c r="Q342" i="3"/>
  <c r="R228" i="3"/>
  <c r="R552" i="3"/>
  <c r="R507" i="3"/>
  <c r="R370" i="3"/>
  <c r="R341" i="3"/>
  <c r="R207" i="3"/>
  <c r="R399" i="3"/>
  <c r="R290" i="3"/>
  <c r="R277" i="3"/>
  <c r="R237" i="3"/>
  <c r="R305" i="3"/>
  <c r="R463" i="3"/>
  <c r="R539" i="3"/>
  <c r="R235" i="3"/>
  <c r="R180" i="3"/>
  <c r="R484" i="3"/>
  <c r="R471" i="3"/>
  <c r="R122" i="3"/>
  <c r="R325" i="3"/>
  <c r="R317" i="3"/>
  <c r="R355" i="3"/>
  <c r="R453" i="3"/>
  <c r="R287" i="3"/>
  <c r="R314" i="3"/>
  <c r="R196" i="3"/>
  <c r="R316" i="3"/>
  <c r="R472" i="3"/>
  <c r="R333" i="3"/>
  <c r="R428" i="3"/>
  <c r="R500" i="3"/>
  <c r="R266" i="3"/>
  <c r="R395" i="3"/>
  <c r="R310" i="3"/>
  <c r="R166" i="3"/>
  <c r="R182" i="3"/>
  <c r="R157" i="3"/>
  <c r="R347" i="3"/>
  <c r="R285" i="3"/>
  <c r="R423" i="3"/>
  <c r="R210" i="3"/>
  <c r="R405" i="3"/>
  <c r="R262" i="3"/>
  <c r="R335" i="3"/>
  <c r="R308" i="3"/>
  <c r="R179" i="3"/>
  <c r="R195" i="3"/>
  <c r="R469" i="3"/>
  <c r="R233" i="3"/>
  <c r="R372" i="3"/>
  <c r="R269" i="3"/>
  <c r="R382" i="3"/>
  <c r="R293" i="3"/>
  <c r="R385" i="3"/>
  <c r="R164" i="3"/>
  <c r="R165" i="3"/>
  <c r="R138" i="3"/>
  <c r="R415" i="3"/>
  <c r="R249" i="3"/>
  <c r="R294" i="3"/>
  <c r="R107" i="3"/>
  <c r="R188" i="3"/>
  <c r="R258" i="3"/>
  <c r="R252" i="3"/>
  <c r="R183" i="3"/>
  <c r="R118" i="3"/>
  <c r="R275" i="3"/>
  <c r="R147" i="3"/>
  <c r="R291" i="3"/>
  <c r="R163" i="3"/>
  <c r="R225" i="3"/>
  <c r="R458" i="3"/>
  <c r="R374" i="3"/>
  <c r="R461" i="3"/>
  <c r="R450" i="3"/>
  <c r="R292" i="3"/>
  <c r="R438" i="3"/>
  <c r="R518" i="3"/>
  <c r="R411" i="3"/>
  <c r="R457" i="3"/>
  <c r="R187" i="3"/>
  <c r="R124" i="3"/>
  <c r="R467" i="3"/>
  <c r="R119" i="3"/>
  <c r="R338" i="3"/>
  <c r="R407" i="3"/>
  <c r="R392" i="3"/>
  <c r="R199" i="3"/>
  <c r="R363" i="3"/>
  <c r="R307" i="3"/>
  <c r="R327" i="3"/>
  <c r="R508" i="3"/>
  <c r="R414" i="3"/>
  <c r="R381" i="3"/>
  <c r="R434" i="3"/>
  <c r="R125" i="3"/>
  <c r="R377" i="3"/>
  <c r="R468" i="3"/>
  <c r="R521" i="3"/>
  <c r="R515" i="3"/>
  <c r="R525" i="3"/>
  <c r="R496" i="3"/>
  <c r="R408" i="3"/>
  <c r="R470" i="3"/>
  <c r="R369" i="3"/>
  <c r="R459" i="3"/>
  <c r="R433" i="3"/>
  <c r="R527" i="3"/>
  <c r="R486" i="3"/>
  <c r="R398" i="3"/>
  <c r="R445" i="3"/>
  <c r="R498" i="3"/>
  <c r="R555" i="3"/>
  <c r="R451" i="3"/>
  <c r="R177" i="3"/>
  <c r="R442" i="3"/>
  <c r="R257" i="3"/>
  <c r="R378" i="3"/>
  <c r="R283" i="3"/>
  <c r="R253" i="3"/>
  <c r="R223" i="3"/>
  <c r="R326" i="3"/>
  <c r="R116" i="3"/>
  <c r="R436" i="3"/>
  <c r="R315" i="3"/>
  <c r="R332" i="3"/>
  <c r="R201" i="3"/>
  <c r="R250" i="3"/>
  <c r="R425" i="3"/>
  <c r="R244" i="3"/>
  <c r="R462" i="3"/>
  <c r="R360" i="3"/>
  <c r="R440" i="3"/>
  <c r="R541" i="3"/>
  <c r="R535" i="3"/>
  <c r="R186" i="3"/>
  <c r="R358" i="3"/>
  <c r="R320" i="3"/>
  <c r="R230" i="3"/>
  <c r="R387" i="3"/>
  <c r="R278" i="3"/>
  <c r="R389" i="3"/>
  <c r="R135" i="3"/>
  <c r="R263" i="3"/>
  <c r="R351" i="3"/>
  <c r="R279" i="3"/>
  <c r="R523" i="3"/>
  <c r="R324" i="3"/>
  <c r="R379" i="3"/>
  <c r="R480" i="3"/>
  <c r="R170" i="3"/>
  <c r="R221" i="3"/>
  <c r="R318" i="3"/>
  <c r="R554" i="3"/>
  <c r="R229" i="3"/>
  <c r="R274" i="3"/>
  <c r="R156" i="3"/>
  <c r="R489" i="3"/>
  <c r="R536" i="3"/>
  <c r="R456" i="3"/>
  <c r="R403" i="3"/>
  <c r="R321" i="3"/>
  <c r="R117" i="3"/>
  <c r="R141" i="3"/>
  <c r="R479" i="3"/>
  <c r="R531" i="3"/>
  <c r="R126" i="3"/>
  <c r="R209" i="3"/>
  <c r="R311" i="3"/>
  <c r="R361" i="3"/>
  <c r="R153" i="3"/>
  <c r="R137" i="3"/>
  <c r="R371" i="3"/>
  <c r="R340" i="3"/>
  <c r="R404" i="3"/>
  <c r="R418" i="3"/>
  <c r="R449" i="3"/>
  <c r="R330" i="3"/>
  <c r="R202" i="3"/>
  <c r="R397" i="3"/>
  <c r="R487" i="3"/>
  <c r="R251" i="3"/>
  <c r="R146" i="3"/>
  <c r="R354" i="3"/>
  <c r="R306" i="3"/>
  <c r="R231" i="3"/>
  <c r="R243" i="3"/>
  <c r="Q350" i="3"/>
  <c r="R259" i="3"/>
  <c r="R193" i="3"/>
  <c r="R218" i="3"/>
  <c r="R478" i="3"/>
  <c r="R161" i="3"/>
  <c r="R267" i="3"/>
  <c r="R421" i="3"/>
  <c r="R300" i="3"/>
  <c r="R422" i="3"/>
  <c r="R503" i="3"/>
  <c r="R388" i="3"/>
  <c r="R367" i="3"/>
  <c r="R513" i="3"/>
  <c r="R409" i="3"/>
  <c r="R206" i="3"/>
  <c r="R113" i="3"/>
  <c r="R494" i="3"/>
  <c r="R219" i="3"/>
  <c r="Q299" i="3"/>
  <c r="Q460" i="3"/>
  <c r="R439" i="3"/>
  <c r="R431" i="3"/>
  <c r="R149" i="3"/>
  <c r="R547" i="3"/>
  <c r="R488" i="3"/>
  <c r="R401" i="3"/>
  <c r="R145" i="3"/>
  <c r="R466" i="3"/>
  <c r="R419" i="3"/>
  <c r="R410" i="3"/>
  <c r="R413" i="3"/>
  <c r="R454" i="3"/>
  <c r="R390" i="3"/>
  <c r="R441" i="3"/>
  <c r="R115" i="3"/>
  <c r="R550" i="3"/>
  <c r="R189" i="3"/>
  <c r="R357" i="3"/>
  <c r="R255" i="3"/>
  <c r="R162" i="3"/>
  <c r="R236" i="3"/>
  <c r="Q546" i="3"/>
  <c r="R281" i="3"/>
  <c r="R212" i="3"/>
  <c r="R532" i="3"/>
  <c r="R420" i="3"/>
  <c r="R226" i="3"/>
  <c r="R349" i="3"/>
  <c r="R375" i="3"/>
  <c r="R109" i="3"/>
  <c r="R483" i="3"/>
  <c r="R173" i="3"/>
  <c r="R465" i="3"/>
  <c r="R121" i="3"/>
  <c r="R346" i="3"/>
  <c r="R443" i="3"/>
  <c r="R133" i="3"/>
  <c r="R337" i="3"/>
  <c r="R331" i="3"/>
  <c r="R254" i="3"/>
  <c r="R172" i="3"/>
  <c r="R241" i="3"/>
  <c r="Q245" i="3"/>
  <c r="R301" i="3"/>
  <c r="R276" i="3"/>
  <c r="R148" i="3"/>
  <c r="R364" i="3"/>
  <c r="R265" i="3"/>
  <c r="R524" i="3"/>
  <c r="R540" i="3"/>
  <c r="R514" i="3"/>
  <c r="R282" i="3"/>
  <c r="R495" i="3"/>
  <c r="R497" i="3"/>
  <c r="R154" i="3"/>
  <c r="R474" i="3"/>
  <c r="R402" i="3"/>
  <c r="R261" i="3"/>
  <c r="R198" i="3"/>
  <c r="R345" i="3"/>
  <c r="R214" i="3"/>
  <c r="R270" i="3"/>
  <c r="R142" i="3"/>
  <c r="R191" i="3"/>
  <c r="R108" i="3"/>
  <c r="Q106" i="3"/>
  <c r="R319" i="3"/>
  <c r="Q322" i="3"/>
  <c r="Q175" i="3"/>
  <c r="Q239" i="3"/>
  <c r="Q303" i="3"/>
  <c r="Q151" i="3"/>
  <c r="Q215" i="3"/>
  <c r="Q279" i="3"/>
  <c r="Q343" i="3"/>
  <c r="Q324" i="3"/>
  <c r="Q211" i="3"/>
  <c r="Q339" i="3"/>
  <c r="Q227" i="3"/>
  <c r="Q217" i="3"/>
  <c r="R178" i="3"/>
  <c r="Q178" i="3"/>
  <c r="Q455" i="3"/>
  <c r="Q129" i="3"/>
  <c r="Q504" i="3"/>
  <c r="Q353" i="3"/>
  <c r="Q362" i="3"/>
  <c r="Q491" i="3"/>
  <c r="Q520" i="3"/>
  <c r="Q406" i="3"/>
  <c r="Q426" i="3"/>
  <c r="R376" i="3"/>
  <c r="R303" i="3"/>
  <c r="R185" i="3"/>
  <c r="R511" i="3"/>
  <c r="R197" i="3"/>
  <c r="R452" i="3"/>
  <c r="R169" i="3"/>
  <c r="R393" i="3"/>
  <c r="R239" i="3"/>
  <c r="R106" i="3"/>
  <c r="R490" i="3"/>
  <c r="R447" i="3"/>
  <c r="R437" i="3"/>
  <c r="R365" i="3"/>
  <c r="R429" i="3"/>
  <c r="R211" i="3"/>
  <c r="R205" i="3"/>
  <c r="R383" i="3"/>
  <c r="R475" i="3"/>
  <c r="R227" i="3"/>
  <c r="R342" i="3"/>
  <c r="R542" i="3"/>
  <c r="R366" i="3"/>
  <c r="R286" i="3"/>
  <c r="R123" i="3"/>
  <c r="R190" i="3"/>
  <c r="R175" i="3"/>
  <c r="R220" i="3"/>
  <c r="R151" i="3"/>
  <c r="R171" i="3"/>
  <c r="R114" i="3"/>
  <c r="R334" i="3"/>
  <c r="Q334" i="3"/>
  <c r="Q354" i="3"/>
  <c r="Q127" i="3"/>
  <c r="Q191" i="3"/>
  <c r="Q255" i="3"/>
  <c r="Q319" i="3"/>
  <c r="Q306" i="3"/>
  <c r="Q167" i="3"/>
  <c r="Q231" i="3"/>
  <c r="Q295" i="3"/>
  <c r="Q243" i="3"/>
  <c r="Q131" i="3"/>
  <c r="Q259" i="3"/>
  <c r="Q430" i="3"/>
  <c r="Q473" i="3"/>
  <c r="Q396" i="3"/>
  <c r="Q482" i="3"/>
  <c r="Q309" i="3"/>
  <c r="R242" i="3"/>
  <c r="Q242" i="3"/>
  <c r="R260" i="3"/>
  <c r="R132" i="3"/>
  <c r="R481" i="3"/>
  <c r="R545" i="3"/>
  <c r="R298" i="3"/>
  <c r="R435" i="3"/>
  <c r="R499" i="3"/>
  <c r="R391" i="3"/>
  <c r="R350" i="3"/>
  <c r="R222" i="3"/>
  <c r="R373" i="3"/>
  <c r="Q318" i="3"/>
  <c r="Q143" i="3"/>
  <c r="Q207" i="3"/>
  <c r="Q271" i="3"/>
  <c r="Q335" i="3"/>
  <c r="Q316" i="3"/>
  <c r="Q338" i="3"/>
  <c r="Q119" i="3"/>
  <c r="Q183" i="3"/>
  <c r="Q247" i="3"/>
  <c r="Q311" i="3"/>
  <c r="Q147" i="3"/>
  <c r="Q275" i="3"/>
  <c r="Q163" i="3"/>
  <c r="Q291" i="3"/>
  <c r="Q417" i="3"/>
  <c r="Q510" i="3"/>
  <c r="Q297" i="3"/>
  <c r="R181" i="3"/>
  <c r="R322" i="3"/>
  <c r="R352" i="3"/>
  <c r="R343" i="3"/>
  <c r="R348" i="3"/>
  <c r="R234" i="3"/>
  <c r="R313" i="3"/>
  <c r="R289" i="3"/>
  <c r="R339" i="3"/>
  <c r="R273" i="3"/>
  <c r="R134" i="3"/>
  <c r="R158" i="3"/>
  <c r="R111" i="3"/>
  <c r="R284" i="3"/>
  <c r="R302" i="3"/>
  <c r="Q302" i="3"/>
  <c r="R238" i="3"/>
  <c r="Q238" i="3"/>
  <c r="R174" i="3"/>
  <c r="Q174" i="3"/>
  <c r="R110" i="3"/>
  <c r="Q110" i="3"/>
  <c r="R194" i="3"/>
  <c r="Q194" i="3"/>
  <c r="R130" i="3"/>
  <c r="Q130" i="3"/>
  <c r="Q159" i="3"/>
  <c r="Q223" i="3"/>
  <c r="Q287" i="3"/>
  <c r="Q351" i="3"/>
  <c r="R140" i="3"/>
  <c r="Q140" i="3"/>
  <c r="R204" i="3"/>
  <c r="Q204" i="3"/>
  <c r="R268" i="3"/>
  <c r="Q268" i="3"/>
  <c r="Q332" i="3"/>
  <c r="Q135" i="3"/>
  <c r="Q199" i="3"/>
  <c r="Q263" i="3"/>
  <c r="Q327" i="3"/>
  <c r="Q308" i="3"/>
  <c r="Q326" i="3"/>
  <c r="Q179" i="3"/>
  <c r="Q307" i="3"/>
  <c r="Q195" i="3"/>
  <c r="Q323" i="3"/>
  <c r="Q139" i="3"/>
  <c r="R155" i="3"/>
  <c r="R344" i="3"/>
  <c r="R167" i="3"/>
  <c r="R312" i="3"/>
  <c r="R215" i="3"/>
  <c r="R159" i="3"/>
  <c r="R328" i="3"/>
  <c r="W62" i="3"/>
  <c r="W59" i="3"/>
  <c r="W63" i="3" s="1"/>
  <c r="R37" i="1"/>
  <c r="F30" i="1"/>
  <c r="F35" i="1"/>
  <c r="R44" i="1"/>
  <c r="R42" i="1"/>
  <c r="Y63" i="3" l="1"/>
  <c r="Z63" i="3" s="1"/>
  <c r="Y64" i="3"/>
  <c r="Z64" i="3" s="1"/>
  <c r="W64" i="3"/>
  <c r="BG60" i="3"/>
  <c r="BG84" i="3"/>
  <c r="Z28" i="3" l="1"/>
  <c r="Z36" i="3" l="1"/>
  <c r="Z37" i="3" s="1"/>
  <c r="Z34" i="3"/>
  <c r="Z35" i="3" s="1"/>
  <c r="Z30" i="3"/>
  <c r="Z31" i="3" s="1"/>
  <c r="Z32" i="3"/>
  <c r="Z33" i="3" s="1"/>
  <c r="Z3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N33" authorId="0" shapeId="0" xr:uid="{19F1C619-70CC-4B3A-87F7-0D97A21EB98F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L35" authorId="0" shapeId="0" xr:uid="{F5D2A46E-5042-4356-B4DF-DA55D004CBB2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H-B Rmodel</t>
        </r>
      </text>
    </comment>
    <comment ref="L44" authorId="0" shapeId="0" xr:uid="{35DC99D1-B1AB-4129-9F4C-7C6A8DF505CA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R44" authorId="0" shapeId="0" xr:uid="{989D0B06-2BCC-49A1-AED3-FDDF0D44B5CE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T44" authorId="0" shapeId="0" xr:uid="{3B7AA35C-3894-4D6E-82CC-6D5352B39DF4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H1.pdf</t>
        </r>
      </text>
    </comment>
    <comment ref="L47" authorId="0" shapeId="0" xr:uid="{1DAA26A5-45B1-4431-9330-1883BD379ED7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H1.pdf</t>
        </r>
      </text>
    </comment>
    <comment ref="D57" authorId="0" shapeId="0" xr:uid="{2C2E652B-1C00-402C-8CC8-E69240DD7224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https://www.caleffi.com/sites/default/files/file/aria.pdf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L7" authorId="0" shapeId="0" xr:uid="{969F1EC0-B204-4ABE-B0FD-A82E3689C99F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Cambiando questo valore si deve modificare il foglio "forze" manualmente
</t>
        </r>
      </text>
    </comment>
    <comment ref="L10" authorId="0" shapeId="0" xr:uid="{8E174735-ADD5-44FC-B756-74A151E09F2D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2" authorId="0" shapeId="0" xr:uid="{89C4433C-4240-4C1F-85C4-E4DDDD5892CB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cambiando questo dato si devono modificare alcune celle manualmente</t>
        </r>
      </text>
    </comment>
    <comment ref="K20" authorId="0" shapeId="0" xr:uid="{E0C588E8-595B-47F3-AA36-4235C7EC76A5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Hydrostatic pad design</t>
        </r>
      </text>
    </comment>
    <comment ref="Z33" authorId="0" shapeId="0" xr:uid="{DE6BE545-2F53-45A3-8473-01EBD51E5624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L34" authorId="0" shapeId="0" xr:uid="{522676AF-5B51-4915-AF75-669C682019C0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Utente:
200425 Hydrostatic Pad Design parameters</t>
        </r>
      </text>
    </comment>
  </commentList>
</comments>
</file>

<file path=xl/sharedStrings.xml><?xml version="1.0" encoding="utf-8"?>
<sst xmlns="http://schemas.openxmlformats.org/spreadsheetml/2006/main" count="678" uniqueCount="361">
  <si>
    <t>DATI</t>
  </si>
  <si>
    <t>https://www.youtube.com/watch?v=mz9_5MYXDw0</t>
  </si>
  <si>
    <t>Perimetro shaft</t>
  </si>
  <si>
    <t>mm</t>
  </si>
  <si>
    <t>ω shaft</t>
  </si>
  <si>
    <t>rpm</t>
  </si>
  <si>
    <t>m/s</t>
  </si>
  <si>
    <t>minimum film thickness</t>
  </si>
  <si>
    <t>m</t>
  </si>
  <si>
    <t>T</t>
  </si>
  <si>
    <t>Temperature</t>
  </si>
  <si>
    <t>Density</t>
  </si>
  <si>
    <t>Name</t>
  </si>
  <si>
    <t>Symbol</t>
  </si>
  <si>
    <t>[]</t>
  </si>
  <si>
    <t>Diametro mandrino</t>
  </si>
  <si>
    <r>
      <t>D</t>
    </r>
    <r>
      <rPr>
        <sz val="8"/>
        <color theme="1"/>
        <rFont val="Calibri"/>
        <family val="2"/>
        <scheme val="minor"/>
      </rPr>
      <t>m</t>
    </r>
  </si>
  <si>
    <t>Lunghezza boccola</t>
  </si>
  <si>
    <r>
      <t>L</t>
    </r>
    <r>
      <rPr>
        <sz val="8"/>
        <color theme="1"/>
        <rFont val="Calibri"/>
        <family val="2"/>
        <scheme val="minor"/>
      </rPr>
      <t>b</t>
    </r>
  </si>
  <si>
    <t>n° boccole</t>
  </si>
  <si>
    <r>
      <t>ω</t>
    </r>
    <r>
      <rPr>
        <sz val="8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</t>
    </r>
  </si>
  <si>
    <t>Fluid characteristics:</t>
  </si>
  <si>
    <t>Ns/m</t>
  </si>
  <si>
    <r>
      <t>Ns/m</t>
    </r>
    <r>
      <rPr>
        <vertAlign val="superscript"/>
        <sz val="11"/>
        <color theme="1"/>
        <rFont val="Calibri"/>
        <family val="2"/>
        <scheme val="minor"/>
      </rPr>
      <t>2</t>
    </r>
  </si>
  <si>
    <t>°C</t>
  </si>
  <si>
    <t>μ</t>
  </si>
  <si>
    <t>ρ</t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</si>
  <si>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</si>
  <si>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Din Viscosity</t>
  </si>
  <si>
    <t>Lunghezza</t>
  </si>
  <si>
    <t>B</t>
  </si>
  <si>
    <t>L</t>
  </si>
  <si>
    <t>Bearing Pad (rectangular)</t>
  </si>
  <si>
    <t>Raggio interno</t>
  </si>
  <si>
    <r>
      <t>r</t>
    </r>
    <r>
      <rPr>
        <sz val="8"/>
        <color theme="1"/>
        <rFont val="Calibri"/>
        <family val="2"/>
        <scheme val="minor"/>
      </rPr>
      <t>b</t>
    </r>
  </si>
  <si>
    <t>Recess depth</t>
  </si>
  <si>
    <t>H</t>
  </si>
  <si>
    <t>Arco di circ. occupato</t>
  </si>
  <si>
    <t>°</t>
  </si>
  <si>
    <t>rad</t>
  </si>
  <si>
    <t>Larghezza</t>
  </si>
  <si>
    <t>Land widths</t>
  </si>
  <si>
    <r>
      <t>C</t>
    </r>
    <r>
      <rPr>
        <sz val="9"/>
        <color theme="1"/>
        <rFont val="Calibri"/>
        <family val="2"/>
        <scheme val="minor"/>
      </rPr>
      <t>x</t>
    </r>
  </si>
  <si>
    <r>
      <t>C</t>
    </r>
    <r>
      <rPr>
        <sz val="9"/>
        <color theme="1"/>
        <rFont val="Calibri"/>
        <family val="2"/>
        <scheme val="minor"/>
      </rPr>
      <t>y</t>
    </r>
  </si>
  <si>
    <r>
      <t>h</t>
    </r>
    <r>
      <rPr>
        <sz val="9"/>
        <color theme="1"/>
        <rFont val="Calibri"/>
        <family val="2"/>
        <scheme val="minor"/>
      </rPr>
      <t>0</t>
    </r>
  </si>
  <si>
    <t>dati provvisori</t>
  </si>
  <si>
    <t>dati da verificare</t>
  </si>
  <si>
    <t>Inflow resistance (capillary restrictor)</t>
  </si>
  <si>
    <t>Projected film thickness</t>
  </si>
  <si>
    <r>
      <t>R</t>
    </r>
    <r>
      <rPr>
        <sz val="9"/>
        <color theme="1"/>
        <rFont val="Calibri"/>
        <family val="2"/>
        <scheme val="minor"/>
      </rPr>
      <t>i</t>
    </r>
  </si>
  <si>
    <t>Electrical Analogy (Parallel Plates)</t>
  </si>
  <si>
    <t>Lenght capillary tube</t>
  </si>
  <si>
    <r>
      <t>d</t>
    </r>
    <r>
      <rPr>
        <sz val="9"/>
        <color theme="1"/>
        <rFont val="Calibri"/>
        <family val="2"/>
        <scheme val="minor"/>
      </rPr>
      <t>c</t>
    </r>
  </si>
  <si>
    <t>kg/mms</t>
  </si>
  <si>
    <r>
      <t>kg/sm</t>
    </r>
    <r>
      <rPr>
        <vertAlign val="superscript"/>
        <sz val="11"/>
        <color theme="1"/>
        <rFont val="Calibri"/>
        <family val="2"/>
        <scheme val="minor"/>
      </rPr>
      <t>4</t>
    </r>
  </si>
  <si>
    <r>
      <t>A</t>
    </r>
    <r>
      <rPr>
        <sz val="9"/>
        <color theme="1"/>
        <rFont val="Calibri"/>
        <family val="2"/>
        <scheme val="minor"/>
      </rPr>
      <t>v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</si>
  <si>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</si>
  <si>
    <t>Pressure</t>
  </si>
  <si>
    <t>Supply</t>
  </si>
  <si>
    <t>Film thickness up</t>
  </si>
  <si>
    <t>Film thickness down</t>
  </si>
  <si>
    <t>celle automatiche</t>
  </si>
  <si>
    <r>
      <t>h</t>
    </r>
    <r>
      <rPr>
        <sz val="8"/>
        <color theme="1"/>
        <rFont val="Calibri"/>
        <family val="2"/>
        <scheme val="minor"/>
      </rPr>
      <t>up</t>
    </r>
  </si>
  <si>
    <r>
      <t>h</t>
    </r>
    <r>
      <rPr>
        <sz val="8"/>
        <color theme="1"/>
        <rFont val="Calibri"/>
        <family val="2"/>
        <scheme val="minor"/>
      </rPr>
      <t>down</t>
    </r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</si>
  <si>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up</t>
    </r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</si>
  <si>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down</t>
    </r>
  </si>
  <si>
    <t xml:space="preserve">Down outflow resistance </t>
  </si>
  <si>
    <t xml:space="preserve">Up outflow resistance </t>
  </si>
  <si>
    <t>δ</t>
  </si>
  <si>
    <r>
      <t>P</t>
    </r>
    <r>
      <rPr>
        <sz val="9"/>
        <color theme="1"/>
        <rFont val="Calibri"/>
        <family val="2"/>
        <scheme val="minor"/>
      </rPr>
      <t>s</t>
    </r>
  </si>
  <si>
    <r>
      <t>P</t>
    </r>
    <r>
      <rPr>
        <sz val="9"/>
        <color theme="1"/>
        <rFont val="Calibri"/>
        <family val="2"/>
        <scheme val="minor"/>
      </rPr>
      <t>r</t>
    </r>
    <r>
      <rPr>
        <sz val="8"/>
        <color theme="1"/>
        <rFont val="Calibri"/>
        <family val="2"/>
        <scheme val="minor"/>
      </rPr>
      <t>up</t>
    </r>
  </si>
  <si>
    <r>
      <t>P</t>
    </r>
    <r>
      <rPr>
        <sz val="9"/>
        <color theme="1"/>
        <rFont val="Calibri"/>
        <family val="2"/>
        <scheme val="minor"/>
      </rPr>
      <t>r</t>
    </r>
    <r>
      <rPr>
        <sz val="8"/>
        <color theme="1"/>
        <rFont val="Calibri"/>
        <family val="2"/>
        <scheme val="minor"/>
      </rPr>
      <t>down</t>
    </r>
  </si>
  <si>
    <t>Flow</t>
  </si>
  <si>
    <t>Q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</si>
  <si>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</si>
  <si>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Pa</t>
  </si>
  <si>
    <t>bar</t>
  </si>
  <si>
    <r>
      <t>l</t>
    </r>
    <r>
      <rPr>
        <sz val="9"/>
        <color theme="1"/>
        <rFont val="Calibri"/>
        <family val="2"/>
        <scheme val="minor"/>
      </rPr>
      <t>c</t>
    </r>
  </si>
  <si>
    <t>Ambient</t>
  </si>
  <si>
    <r>
      <t>P</t>
    </r>
    <r>
      <rPr>
        <sz val="9"/>
        <color theme="1"/>
        <rFont val="Calibri"/>
        <family val="2"/>
        <scheme val="minor"/>
      </rPr>
      <t>a</t>
    </r>
  </si>
  <si>
    <r>
      <t>P</t>
    </r>
    <r>
      <rPr>
        <b/>
        <sz val="8"/>
        <color theme="1"/>
        <rFont val="Calibri"/>
        <family val="2"/>
        <scheme val="minor"/>
      </rPr>
      <t>down</t>
    </r>
    <r>
      <rPr>
        <b/>
        <sz val="11"/>
        <color theme="1"/>
        <rFont val="Calibri"/>
        <family val="2"/>
        <scheme val="minor"/>
      </rPr>
      <t>-P</t>
    </r>
    <r>
      <rPr>
        <b/>
        <sz val="8"/>
        <color theme="1"/>
        <rFont val="Calibri"/>
        <family val="2"/>
        <scheme val="minor"/>
      </rPr>
      <t>up</t>
    </r>
  </si>
  <si>
    <r>
      <rPr>
        <sz val="11"/>
        <color theme="1"/>
        <rFont val="Calibri"/>
        <family val="2"/>
      </rPr>
      <t>ΔP</t>
    </r>
    <r>
      <rPr>
        <sz val="9"/>
        <color theme="1"/>
        <rFont val="Calibri"/>
        <family val="2"/>
      </rPr>
      <t>r</t>
    </r>
  </si>
  <si>
    <t>W</t>
  </si>
  <si>
    <t>Load capacity</t>
  </si>
  <si>
    <t>N</t>
  </si>
  <si>
    <t>ξ</t>
  </si>
  <si>
    <r>
      <t>ratio h</t>
    </r>
    <r>
      <rPr>
        <b/>
        <sz val="9"/>
        <color theme="1"/>
        <rFont val="Calibri"/>
        <family val="2"/>
        <scheme val="minor"/>
      </rPr>
      <t>up</t>
    </r>
  </si>
  <si>
    <r>
      <t>h</t>
    </r>
    <r>
      <rPr>
        <sz val="8"/>
        <color theme="1"/>
        <rFont val="Calibri"/>
        <family val="2"/>
        <scheme val="minor"/>
      </rPr>
      <t>up</t>
    </r>
    <r>
      <rPr>
        <sz val="11"/>
        <color theme="1"/>
        <rFont val="Calibri"/>
        <family val="2"/>
        <scheme val="minor"/>
      </rPr>
      <t>/h</t>
    </r>
    <r>
      <rPr>
        <sz val="9"/>
        <color theme="1"/>
        <rFont val="Calibri"/>
        <family val="2"/>
        <scheme val="minor"/>
      </rPr>
      <t>0</t>
    </r>
  </si>
  <si>
    <r>
      <t>W</t>
    </r>
    <r>
      <rPr>
        <sz val="9"/>
        <color theme="1"/>
        <rFont val="Calibri"/>
        <family val="2"/>
        <scheme val="minor"/>
      </rPr>
      <t>up</t>
    </r>
    <r>
      <rPr>
        <sz val="11"/>
        <color theme="1"/>
        <rFont val="Calibri"/>
        <family val="2"/>
        <scheme val="minor"/>
      </rPr>
      <t xml:space="preserve"> </t>
    </r>
  </si>
  <si>
    <t>Stiffness</t>
  </si>
  <si>
    <r>
      <t>k</t>
    </r>
    <r>
      <rPr>
        <sz val="9"/>
        <color theme="1"/>
        <rFont val="Calibri"/>
        <family val="2"/>
        <scheme val="minor"/>
      </rPr>
      <t>d</t>
    </r>
  </si>
  <si>
    <t>Nominal (design)</t>
  </si>
  <si>
    <t>Nominal (design) load capacity</t>
  </si>
  <si>
    <t>N/mm</t>
  </si>
  <si>
    <r>
      <t>N/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</t>
    </r>
  </si>
  <si>
    <t>Diameter capillary tube</t>
  </si>
  <si>
    <t>Ri/Ro (h=h0)</t>
  </si>
  <si>
    <t>Damping</t>
  </si>
  <si>
    <t>tipical daming = 0,1-1</t>
  </si>
  <si>
    <t>Damping factor</t>
  </si>
  <si>
    <t>b</t>
  </si>
  <si>
    <t>bearing geometric factor</t>
  </si>
  <si>
    <r>
      <t>K</t>
    </r>
    <r>
      <rPr>
        <sz val="9"/>
        <color theme="1"/>
        <rFont val="Calibri"/>
        <family val="2"/>
        <scheme val="minor"/>
      </rPr>
      <t>s</t>
    </r>
  </si>
  <si>
    <t>Pumping power</t>
  </si>
  <si>
    <r>
      <t>P</t>
    </r>
    <r>
      <rPr>
        <sz val="9"/>
        <color theme="1"/>
        <rFont val="Calibri"/>
        <family val="2"/>
        <scheme val="minor"/>
      </rPr>
      <t>p</t>
    </r>
  </si>
  <si>
    <t>c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</si>
  <si>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</si>
  <si>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Raggio mandrino</t>
  </si>
  <si>
    <r>
      <t>R</t>
    </r>
    <r>
      <rPr>
        <sz val="9"/>
        <color theme="1"/>
        <rFont val="Calibri"/>
        <family val="2"/>
        <scheme val="minor"/>
      </rPr>
      <t>m</t>
    </r>
  </si>
  <si>
    <t>Main                      (x1 plate)</t>
  </si>
  <si>
    <r>
      <t>v</t>
    </r>
    <r>
      <rPr>
        <sz val="9"/>
        <color theme="1"/>
        <rFont val="Calibri"/>
        <family val="2"/>
        <scheme val="minor"/>
      </rPr>
      <t>up</t>
    </r>
  </si>
  <si>
    <r>
      <t>v</t>
    </r>
    <r>
      <rPr>
        <sz val="9"/>
        <color theme="1"/>
        <rFont val="Calibri"/>
        <family val="2"/>
        <scheme val="minor"/>
      </rPr>
      <t>down</t>
    </r>
  </si>
  <si>
    <t>Velocity up</t>
  </si>
  <si>
    <t>Velocity down</t>
  </si>
  <si>
    <t>Velocity</t>
  </si>
  <si>
    <r>
      <t>Re</t>
    </r>
    <r>
      <rPr>
        <sz val="8"/>
        <color theme="1"/>
        <rFont val="Calibri"/>
        <family val="2"/>
        <scheme val="minor"/>
      </rPr>
      <t>up</t>
    </r>
  </si>
  <si>
    <r>
      <t>Re</t>
    </r>
    <r>
      <rPr>
        <sz val="8"/>
        <color theme="1"/>
        <rFont val="Calibri"/>
        <family val="2"/>
        <scheme val="minor"/>
      </rPr>
      <t>down</t>
    </r>
  </si>
  <si>
    <r>
      <t>Qr</t>
    </r>
    <r>
      <rPr>
        <sz val="8"/>
        <color theme="1"/>
        <rFont val="Calibri"/>
        <family val="2"/>
        <scheme val="minor"/>
      </rPr>
      <t>up</t>
    </r>
  </si>
  <si>
    <t>Q restrictor up</t>
  </si>
  <si>
    <t>Q restrictor down</t>
  </si>
  <si>
    <r>
      <t>Qr</t>
    </r>
    <r>
      <rPr>
        <sz val="8"/>
        <color theme="1"/>
        <rFont val="Calibri"/>
        <family val="2"/>
        <scheme val="minor"/>
      </rPr>
      <t>down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</si>
  <si>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up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</si>
  <si>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down</t>
    </r>
  </si>
  <si>
    <r>
      <t>Q</t>
    </r>
    <r>
      <rPr>
        <sz val="10"/>
        <color theme="1"/>
        <rFont val="Calibri"/>
        <family val="2"/>
        <scheme val="minor"/>
      </rPr>
      <t>b</t>
    </r>
    <r>
      <rPr>
        <sz val="8"/>
        <color theme="1"/>
        <rFont val="Calibri"/>
        <family val="2"/>
        <scheme val="minor"/>
      </rPr>
      <t>up</t>
    </r>
  </si>
  <si>
    <r>
      <t>Q</t>
    </r>
    <r>
      <rPr>
        <sz val="10"/>
        <color theme="1"/>
        <rFont val="Calibri"/>
        <family val="2"/>
        <scheme val="minor"/>
      </rPr>
      <t>b</t>
    </r>
    <r>
      <rPr>
        <sz val="8"/>
        <color theme="1"/>
        <rFont val="Calibri"/>
        <family val="2"/>
        <scheme val="minor"/>
      </rPr>
      <t>down</t>
    </r>
  </si>
  <si>
    <t xml:space="preserve">Out </t>
  </si>
  <si>
    <t>Transition speed</t>
  </si>
  <si>
    <t>Nt</t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</si>
  <si>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1</t>
    </r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</si>
  <si>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2</t>
    </r>
  </si>
  <si>
    <t>Outflow resistance 1</t>
  </si>
  <si>
    <t>Outflow resistance 2</t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</si>
  <si>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3</t>
    </r>
  </si>
  <si>
    <t>Outflow resistance 3</t>
  </si>
  <si>
    <r>
      <t>h</t>
    </r>
    <r>
      <rPr>
        <sz val="8"/>
        <color theme="1"/>
        <rFont val="Calibri"/>
        <family val="2"/>
        <scheme val="minor"/>
      </rPr>
      <t>1</t>
    </r>
  </si>
  <si>
    <r>
      <t>h</t>
    </r>
    <r>
      <rPr>
        <sz val="8"/>
        <color theme="1"/>
        <rFont val="Calibri"/>
        <family val="2"/>
        <scheme val="minor"/>
      </rPr>
      <t>2</t>
    </r>
  </si>
  <si>
    <t>Film thickness 1</t>
  </si>
  <si>
    <t>Film thickness 2</t>
  </si>
  <si>
    <t>Film thickness 3</t>
  </si>
  <si>
    <r>
      <t>h</t>
    </r>
    <r>
      <rPr>
        <sz val="8"/>
        <color theme="1"/>
        <rFont val="Calibri"/>
        <family val="2"/>
        <scheme val="minor"/>
      </rPr>
      <t>3</t>
    </r>
  </si>
  <si>
    <r>
      <t>Q</t>
    </r>
    <r>
      <rPr>
        <sz val="10"/>
        <color theme="1"/>
        <rFont val="Calibri"/>
        <family val="2"/>
        <scheme val="minor"/>
      </rPr>
      <t>b</t>
    </r>
    <r>
      <rPr>
        <sz val="8"/>
        <color theme="1"/>
        <rFont val="Calibri"/>
        <family val="2"/>
        <scheme val="minor"/>
      </rPr>
      <t>1</t>
    </r>
  </si>
  <si>
    <r>
      <t>Q</t>
    </r>
    <r>
      <rPr>
        <sz val="10"/>
        <color theme="1"/>
        <rFont val="Calibri"/>
        <family val="2"/>
        <scheme val="minor"/>
      </rPr>
      <t>b2</t>
    </r>
  </si>
  <si>
    <r>
      <t>Q</t>
    </r>
    <r>
      <rPr>
        <sz val="10"/>
        <color theme="1"/>
        <rFont val="Calibri"/>
        <family val="2"/>
        <scheme val="minor"/>
      </rPr>
      <t>b3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</si>
  <si>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1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</si>
  <si>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2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</si>
  <si>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3</t>
    </r>
  </si>
  <si>
    <r>
      <t>P</t>
    </r>
    <r>
      <rPr>
        <sz val="9"/>
        <color theme="1"/>
        <rFont val="Calibri"/>
        <family val="2"/>
        <scheme val="minor"/>
      </rPr>
      <t>r1</t>
    </r>
  </si>
  <si>
    <r>
      <t>P</t>
    </r>
    <r>
      <rPr>
        <sz val="9"/>
        <color theme="1"/>
        <rFont val="Calibri"/>
        <family val="2"/>
        <scheme val="minor"/>
      </rPr>
      <t>r2</t>
    </r>
  </si>
  <si>
    <r>
      <t>P</t>
    </r>
    <r>
      <rPr>
        <sz val="9"/>
        <color theme="1"/>
        <rFont val="Calibri"/>
        <family val="2"/>
        <scheme val="minor"/>
      </rPr>
      <t>r3</t>
    </r>
  </si>
  <si>
    <t>e</t>
  </si>
  <si>
    <t>THICKNESS</t>
  </si>
  <si>
    <t>Vertical load</t>
  </si>
  <si>
    <t>Horizontal load</t>
  </si>
  <si>
    <t>phi3</t>
  </si>
  <si>
    <t>Total Load</t>
  </si>
  <si>
    <r>
      <t>δ/h</t>
    </r>
    <r>
      <rPr>
        <sz val="9"/>
        <color theme="1"/>
        <rFont val="Calibri"/>
        <family val="2"/>
        <scheme val="minor"/>
      </rPr>
      <t>0</t>
    </r>
  </si>
  <si>
    <t>--</t>
  </si>
  <si>
    <t xml:space="preserve">Stiffness </t>
  </si>
  <si>
    <r>
      <t>k</t>
    </r>
    <r>
      <rPr>
        <sz val="9"/>
        <color theme="1"/>
        <rFont val="Calibri"/>
        <family val="2"/>
        <scheme val="minor"/>
      </rPr>
      <t>1</t>
    </r>
  </si>
  <si>
    <t>Stiffness 1</t>
  </si>
  <si>
    <t>Stiffness 2</t>
  </si>
  <si>
    <t>Stiffness 3</t>
  </si>
  <si>
    <t>k3</t>
  </si>
  <si>
    <t>k2</t>
  </si>
  <si>
    <t>Disallineamento verticale</t>
  </si>
  <si>
    <t>Up</t>
  </si>
  <si>
    <t>Down</t>
  </si>
  <si>
    <t>Forces</t>
  </si>
  <si>
    <r>
      <t>W</t>
    </r>
    <r>
      <rPr>
        <sz val="9"/>
        <color theme="1"/>
        <rFont val="Calibri"/>
        <family val="2"/>
        <scheme val="minor"/>
      </rPr>
      <t>d</t>
    </r>
  </si>
  <si>
    <t>Vertical Load</t>
  </si>
  <si>
    <r>
      <t>k</t>
    </r>
    <r>
      <rPr>
        <sz val="9"/>
        <color theme="1"/>
        <rFont val="Calibri"/>
        <family val="2"/>
        <scheme val="minor"/>
      </rPr>
      <t>up</t>
    </r>
  </si>
  <si>
    <r>
      <t>k</t>
    </r>
    <r>
      <rPr>
        <sz val="9"/>
        <color theme="1"/>
        <rFont val="Calibri"/>
        <family val="2"/>
        <scheme val="minor"/>
      </rPr>
      <t>down</t>
    </r>
  </si>
  <si>
    <r>
      <t>W</t>
    </r>
    <r>
      <rPr>
        <sz val="9"/>
        <color theme="1"/>
        <rFont val="Calibri"/>
        <family val="2"/>
        <scheme val="minor"/>
      </rPr>
      <t>down</t>
    </r>
  </si>
  <si>
    <t>FILM THICKNESS</t>
  </si>
  <si>
    <t>β</t>
  </si>
  <si>
    <t>Sh</t>
  </si>
  <si>
    <t>rad/s</t>
  </si>
  <si>
    <t>giri/s</t>
  </si>
  <si>
    <t>Z</t>
  </si>
  <si>
    <t>γ</t>
  </si>
  <si>
    <r>
      <rPr>
        <sz val="11"/>
        <color theme="1"/>
        <rFont val="Calibri"/>
        <family val="2"/>
      </rPr>
      <t>λ</t>
    </r>
    <r>
      <rPr>
        <sz val="9.9"/>
        <color theme="1"/>
        <rFont val="Calibri"/>
        <family val="2"/>
      </rPr>
      <t>hs</t>
    </r>
  </si>
  <si>
    <r>
      <t>λ</t>
    </r>
    <r>
      <rPr>
        <sz val="9.9"/>
        <color theme="1"/>
        <rFont val="Calibri"/>
        <family val="2"/>
      </rPr>
      <t>hd</t>
    </r>
  </si>
  <si>
    <r>
      <t>C</t>
    </r>
    <r>
      <rPr>
        <sz val="10"/>
        <color theme="1"/>
        <rFont val="Calibri"/>
        <family val="2"/>
        <scheme val="minor"/>
      </rPr>
      <t>sq</t>
    </r>
  </si>
  <si>
    <r>
      <t>Ns/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</t>
    </r>
  </si>
  <si>
    <t>massa</t>
  </si>
  <si>
    <t>kg</t>
  </si>
  <si>
    <r>
      <rPr>
        <sz val="11"/>
        <color theme="1"/>
        <rFont val="Calibri"/>
        <family val="2"/>
      </rPr>
      <t>ω</t>
    </r>
    <r>
      <rPr>
        <sz val="9"/>
        <color theme="1"/>
        <rFont val="Calibri"/>
        <family val="2"/>
      </rPr>
      <t>n</t>
    </r>
  </si>
  <si>
    <t>damping ratio</t>
  </si>
  <si>
    <t>hydrostatic stiffness</t>
  </si>
  <si>
    <t>damping squeeze</t>
  </si>
  <si>
    <t>natural frequency</t>
  </si>
  <si>
    <t>Transition speed (laminar to turbulent)</t>
  </si>
  <si>
    <t>OIL ""</t>
  </si>
  <si>
    <t>hydrodinamic stiffness</t>
  </si>
  <si>
    <t>PERDITE DI CARICO</t>
  </si>
  <si>
    <r>
      <t>D</t>
    </r>
    <r>
      <rPr>
        <sz val="9"/>
        <color theme="1"/>
        <rFont val="Calibri"/>
        <family val="2"/>
        <scheme val="minor"/>
      </rPr>
      <t>eq</t>
    </r>
    <r>
      <rPr>
        <sz val="8"/>
        <color theme="1"/>
        <rFont val="Calibri"/>
        <family val="2"/>
        <scheme val="minor"/>
      </rPr>
      <t>up</t>
    </r>
  </si>
  <si>
    <r>
      <t>D</t>
    </r>
    <r>
      <rPr>
        <sz val="9"/>
        <color theme="1"/>
        <rFont val="Calibri"/>
        <family val="2"/>
        <scheme val="minor"/>
      </rPr>
      <t>eq</t>
    </r>
    <r>
      <rPr>
        <sz val="8"/>
        <color theme="1"/>
        <rFont val="Calibri"/>
        <family val="2"/>
        <scheme val="minor"/>
      </rPr>
      <t>down</t>
    </r>
  </si>
  <si>
    <t>kW</t>
  </si>
  <si>
    <t>Effective Area Formula (1)</t>
  </si>
  <si>
    <t>Effective Area Formula (2)</t>
  </si>
  <si>
    <t>Av</t>
  </si>
  <si>
    <t>Width</t>
  </si>
  <si>
    <t>Length</t>
  </si>
  <si>
    <t>Land width</t>
  </si>
  <si>
    <t>Internal pad radius</t>
  </si>
  <si>
    <t>Arc of the circle</t>
  </si>
  <si>
    <t>OIL "Mobil Velocite N°6"</t>
  </si>
  <si>
    <r>
      <rPr>
        <b/>
        <sz val="14"/>
        <color theme="1"/>
        <rFont val="Calibri"/>
        <family val="2"/>
        <scheme val="minor"/>
      </rPr>
      <t>Q</t>
    </r>
    <r>
      <rPr>
        <b/>
        <sz val="11"/>
        <color theme="1"/>
        <rFont val="Calibri"/>
        <family val="2"/>
        <scheme val="minor"/>
      </rPr>
      <t>tot</t>
    </r>
  </si>
  <si>
    <t>C [mm]</t>
  </si>
  <si>
    <t>Pr</t>
  </si>
  <si>
    <t>Horizontal Load</t>
  </si>
  <si>
    <t>Wv</t>
  </si>
  <si>
    <t>Wh</t>
  </si>
  <si>
    <t>Design load capacity</t>
  </si>
  <si>
    <r>
      <t>W</t>
    </r>
    <r>
      <rPr>
        <sz val="9"/>
        <color theme="1" tint="0.499984740745262"/>
        <rFont val="Calibri"/>
        <family val="2"/>
        <scheme val="minor"/>
      </rPr>
      <t>d</t>
    </r>
  </si>
  <si>
    <r>
      <t>W</t>
    </r>
    <r>
      <rPr>
        <sz val="9"/>
        <color theme="1" tint="0.499984740745262"/>
        <rFont val="Calibri"/>
        <family val="2"/>
        <scheme val="minor"/>
      </rPr>
      <t>1</t>
    </r>
  </si>
  <si>
    <r>
      <t>ratio h</t>
    </r>
    <r>
      <rPr>
        <b/>
        <sz val="9"/>
        <color theme="1" tint="0.499984740745262"/>
        <rFont val="Calibri"/>
        <family val="2"/>
        <scheme val="minor"/>
      </rPr>
      <t>1</t>
    </r>
  </si>
  <si>
    <r>
      <t>h</t>
    </r>
    <r>
      <rPr>
        <sz val="8"/>
        <color theme="1" tint="0.499984740745262"/>
        <rFont val="Calibri"/>
        <family val="2"/>
        <scheme val="minor"/>
      </rPr>
      <t>1</t>
    </r>
    <r>
      <rPr>
        <sz val="11"/>
        <color theme="1" tint="0.499984740745262"/>
        <rFont val="Calibri"/>
        <family val="2"/>
        <scheme val="minor"/>
      </rPr>
      <t>/h</t>
    </r>
    <r>
      <rPr>
        <sz val="9"/>
        <color theme="1" tint="0.499984740745262"/>
        <rFont val="Calibri"/>
        <family val="2"/>
        <scheme val="minor"/>
      </rPr>
      <t>0</t>
    </r>
  </si>
  <si>
    <r>
      <t>phi</t>
    </r>
    <r>
      <rPr>
        <sz val="9"/>
        <color theme="1" tint="0.499984740745262"/>
        <rFont val="Calibri"/>
        <family val="2"/>
        <scheme val="minor"/>
      </rPr>
      <t>1</t>
    </r>
  </si>
  <si>
    <r>
      <t>W</t>
    </r>
    <r>
      <rPr>
        <sz val="9"/>
        <color theme="1" tint="0.499984740745262"/>
        <rFont val="Calibri"/>
        <family val="2"/>
        <scheme val="minor"/>
      </rPr>
      <t>2</t>
    </r>
  </si>
  <si>
    <r>
      <t>ratio h</t>
    </r>
    <r>
      <rPr>
        <b/>
        <sz val="9"/>
        <color theme="1" tint="0.499984740745262"/>
        <rFont val="Calibri"/>
        <family val="2"/>
        <scheme val="minor"/>
      </rPr>
      <t>up</t>
    </r>
  </si>
  <si>
    <r>
      <t>h</t>
    </r>
    <r>
      <rPr>
        <sz val="8"/>
        <color theme="1" tint="0.499984740745262"/>
        <rFont val="Calibri"/>
        <family val="2"/>
        <scheme val="minor"/>
      </rPr>
      <t>2</t>
    </r>
    <r>
      <rPr>
        <sz val="11"/>
        <color theme="1" tint="0.499984740745262"/>
        <rFont val="Calibri"/>
        <family val="2"/>
        <scheme val="minor"/>
      </rPr>
      <t>/h</t>
    </r>
    <r>
      <rPr>
        <sz val="9"/>
        <color theme="1" tint="0.499984740745262"/>
        <rFont val="Calibri"/>
        <family val="2"/>
        <scheme val="minor"/>
      </rPr>
      <t>0</t>
    </r>
  </si>
  <si>
    <r>
      <t>phi</t>
    </r>
    <r>
      <rPr>
        <sz val="9"/>
        <color theme="1" tint="0.499984740745262"/>
        <rFont val="Calibri"/>
        <family val="2"/>
        <scheme val="minor"/>
      </rPr>
      <t>2</t>
    </r>
  </si>
  <si>
    <r>
      <t>W</t>
    </r>
    <r>
      <rPr>
        <sz val="9"/>
        <color theme="1" tint="0.499984740745262"/>
        <rFont val="Calibri"/>
        <family val="2"/>
        <scheme val="minor"/>
      </rPr>
      <t>3</t>
    </r>
  </si>
  <si>
    <r>
      <t>h</t>
    </r>
    <r>
      <rPr>
        <sz val="8"/>
        <color theme="1" tint="0.499984740745262"/>
        <rFont val="Calibri"/>
        <family val="2"/>
        <scheme val="minor"/>
      </rPr>
      <t>3</t>
    </r>
    <r>
      <rPr>
        <sz val="11"/>
        <color theme="1" tint="0.499984740745262"/>
        <rFont val="Calibri"/>
        <family val="2"/>
        <scheme val="minor"/>
      </rPr>
      <t>/h</t>
    </r>
    <r>
      <rPr>
        <sz val="9"/>
        <color theme="1" tint="0.499984740745262"/>
        <rFont val="Calibri"/>
        <family val="2"/>
        <scheme val="minor"/>
      </rPr>
      <t>0</t>
    </r>
  </si>
  <si>
    <r>
      <t>W</t>
    </r>
    <r>
      <rPr>
        <sz val="9"/>
        <color theme="1" tint="0.499984740745262"/>
        <rFont val="Calibri"/>
        <family val="2"/>
        <scheme val="minor"/>
      </rPr>
      <t>v</t>
    </r>
  </si>
  <si>
    <r>
      <t>W</t>
    </r>
    <r>
      <rPr>
        <sz val="9"/>
        <color theme="1" tint="0.499984740745262"/>
        <rFont val="Calibri"/>
        <family val="2"/>
        <scheme val="minor"/>
      </rPr>
      <t>h</t>
    </r>
  </si>
  <si>
    <t>Pr design</t>
  </si>
  <si>
    <t>Rowe</t>
  </si>
  <si>
    <t>dati di progetto</t>
  </si>
  <si>
    <t>Hydrostatic Stiffness</t>
  </si>
  <si>
    <r>
      <rPr>
        <b/>
        <sz val="12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 xml:space="preserve">   </t>
    </r>
    <r>
      <rPr>
        <b/>
        <sz val="1"/>
        <color theme="1"/>
        <rFont val="Calibri"/>
        <family val="2"/>
        <scheme val="minor"/>
      </rPr>
      <t>.</t>
    </r>
  </si>
  <si>
    <r>
      <rPr>
        <b/>
        <sz val="12"/>
        <color theme="1"/>
        <rFont val="Calibri"/>
        <family val="2"/>
        <scheme val="minor"/>
      </rPr>
      <t>y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"/>
        <color theme="1"/>
        <rFont val="Calibri"/>
        <family val="2"/>
        <scheme val="minor"/>
      </rPr>
      <t>.</t>
    </r>
  </si>
  <si>
    <t>Forces (Hydrost. Pad Design)</t>
  </si>
  <si>
    <t>Pressure ratio Pr/Ps</t>
  </si>
  <si>
    <t xml:space="preserve">Effective Area Equation </t>
  </si>
  <si>
    <t>Hz</t>
  </si>
  <si>
    <t>k</t>
  </si>
  <si>
    <t>W [N]</t>
  </si>
  <si>
    <t>k [N/um]</t>
  </si>
  <si>
    <t>h0[mm]</t>
  </si>
  <si>
    <t>Pr [bar]</t>
  </si>
  <si>
    <t>angolo associato</t>
  </si>
  <si>
    <t>angolo associato C</t>
  </si>
  <si>
    <t>C/L</t>
  </si>
  <si>
    <t>W [kN]</t>
  </si>
  <si>
    <t xml:space="preserve"> h0=0,03 mm</t>
  </si>
  <si>
    <t xml:space="preserve"> h0=0,02 mm</t>
  </si>
  <si>
    <t xml:space="preserve"> h0=0,04 mm</t>
  </si>
  <si>
    <r>
      <t>A</t>
    </r>
    <r>
      <rPr>
        <sz val="9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[mm2]</t>
    </r>
  </si>
  <si>
    <t xml:space="preserve"> h0=0,08 mm</t>
  </si>
  <si>
    <t>lc</t>
  </si>
  <si>
    <t>dc</t>
  </si>
  <si>
    <t>lc=500</t>
  </si>
  <si>
    <t>lc=300</t>
  </si>
  <si>
    <t>k_UP</t>
  </si>
  <si>
    <t>k_DOWN</t>
  </si>
  <si>
    <t>Design film thickness</t>
  </si>
  <si>
    <t>Module</t>
  </si>
  <si>
    <t>Direction</t>
  </si>
  <si>
    <t>t</t>
  </si>
  <si>
    <t>hd</t>
  </si>
  <si>
    <r>
      <t>p*W</t>
    </r>
    <r>
      <rPr>
        <sz val="8"/>
        <color theme="1"/>
        <rFont val="Calibri"/>
        <family val="2"/>
        <scheme val="minor"/>
      </rPr>
      <t>d</t>
    </r>
  </si>
  <si>
    <t>K_eq</t>
  </si>
  <si>
    <t>30χ</t>
  </si>
  <si>
    <t>Precess design</t>
  </si>
  <si>
    <r>
      <t>r</t>
    </r>
    <r>
      <rPr>
        <sz val="8"/>
        <color theme="1"/>
        <rFont val="Calibri"/>
        <family val="2"/>
        <scheme val="minor"/>
      </rPr>
      <t>p</t>
    </r>
  </si>
  <si>
    <t>spindle up</t>
  </si>
  <si>
    <t>spindle down</t>
  </si>
  <si>
    <t>Spindle Displacement</t>
  </si>
  <si>
    <t>GRAFICI</t>
  </si>
  <si>
    <t>variando lc</t>
  </si>
  <si>
    <t>variando dc</t>
  </si>
  <si>
    <t>l=500mm; C=21,83mm</t>
  </si>
  <si>
    <t>l=300mm; C=17,46mm</t>
  </si>
  <si>
    <t>lc=100</t>
  </si>
  <si>
    <t>lc=50</t>
  </si>
  <si>
    <t>Rigidezza calcolata manualmente (asse verticale)</t>
  </si>
  <si>
    <t>spindle displacement</t>
  </si>
  <si>
    <t>Libro: "Hydrostatic Pad Design Parameters"</t>
  </si>
  <si>
    <t>Design pressure ratio</t>
  </si>
  <si>
    <r>
      <t xml:space="preserve">variando hd (dc=1 mm, </t>
    </r>
    <r>
      <rPr>
        <b/>
        <sz val="12"/>
        <color theme="1"/>
        <rFont val="Calibri"/>
        <family val="2"/>
      </rPr>
      <t>β</t>
    </r>
    <r>
      <rPr>
        <b/>
        <sz val="8.4"/>
        <color theme="1"/>
        <rFont val="Calibri"/>
        <family val="2"/>
      </rPr>
      <t>=0,65</t>
    </r>
    <r>
      <rPr>
        <b/>
        <sz val="12"/>
        <color theme="1"/>
        <rFont val="Calibri"/>
        <family val="2"/>
        <scheme val="minor"/>
      </rPr>
      <t>)</t>
    </r>
  </si>
  <si>
    <t>k1 [N/um]</t>
  </si>
  <si>
    <t>h1/h0</t>
  </si>
  <si>
    <r>
      <t>β</t>
    </r>
    <r>
      <rPr>
        <sz val="7.7"/>
        <color theme="1"/>
        <rFont val="Calibri"/>
        <family val="2"/>
      </rPr>
      <t>=0,25</t>
    </r>
  </si>
  <si>
    <r>
      <t>β</t>
    </r>
    <r>
      <rPr>
        <sz val="7.7"/>
        <color theme="1"/>
        <rFont val="Calibri"/>
        <family val="2"/>
      </rPr>
      <t>=0,65</t>
    </r>
  </si>
  <si>
    <t>k1</t>
  </si>
  <si>
    <t>TOT</t>
  </si>
  <si>
    <t>TOT vert</t>
  </si>
  <si>
    <t>Stiffness Tot_vert</t>
  </si>
  <si>
    <t>kT_vert</t>
  </si>
  <si>
    <t>Pad 1</t>
  </si>
  <si>
    <t>Horizontal</t>
  </si>
  <si>
    <t>Vertical</t>
  </si>
  <si>
    <t>Central area</t>
  </si>
  <si>
    <t>Right and Left land</t>
  </si>
  <si>
    <r>
      <t>W</t>
    </r>
    <r>
      <rPr>
        <sz val="10"/>
        <color theme="1"/>
        <rFont val="Calibri"/>
        <family val="2"/>
        <scheme val="minor"/>
      </rPr>
      <t>c_h</t>
    </r>
    <r>
      <rPr>
        <sz val="11"/>
        <color theme="1"/>
        <rFont val="Calibri"/>
        <family val="2"/>
        <scheme val="minor"/>
      </rPr>
      <t>(1)</t>
    </r>
  </si>
  <si>
    <r>
      <t>W</t>
    </r>
    <r>
      <rPr>
        <sz val="10"/>
        <color theme="1"/>
        <rFont val="Calibri"/>
        <family val="2"/>
        <scheme val="minor"/>
      </rPr>
      <t>c_v</t>
    </r>
    <r>
      <rPr>
        <sz val="11"/>
        <color theme="1"/>
        <rFont val="Calibri"/>
        <family val="2"/>
        <scheme val="minor"/>
      </rPr>
      <t>(1)</t>
    </r>
  </si>
  <si>
    <r>
      <t>W</t>
    </r>
    <r>
      <rPr>
        <sz val="10"/>
        <color theme="1"/>
        <rFont val="Calibri"/>
        <family val="2"/>
        <scheme val="minor"/>
      </rPr>
      <t>l_h</t>
    </r>
    <r>
      <rPr>
        <sz val="11"/>
        <color theme="1"/>
        <rFont val="Calibri"/>
        <family val="2"/>
        <scheme val="minor"/>
      </rPr>
      <t>(1)</t>
    </r>
  </si>
  <si>
    <r>
      <t>W</t>
    </r>
    <r>
      <rPr>
        <sz val="10"/>
        <color theme="1"/>
        <rFont val="Calibri"/>
        <family val="2"/>
        <scheme val="minor"/>
      </rPr>
      <t>l_v</t>
    </r>
    <r>
      <rPr>
        <sz val="11"/>
        <color theme="1"/>
        <rFont val="Calibri"/>
        <family val="2"/>
        <scheme val="minor"/>
      </rPr>
      <t>(1)</t>
    </r>
  </si>
  <si>
    <t>Wv(1)</t>
  </si>
  <si>
    <t>Wh(1)</t>
  </si>
  <si>
    <t>W(1)</t>
  </si>
  <si>
    <t>Pad 2</t>
  </si>
  <si>
    <t>Pad 3</t>
  </si>
  <si>
    <r>
      <t>W</t>
    </r>
    <r>
      <rPr>
        <sz val="10"/>
        <color theme="1"/>
        <rFont val="Calibri"/>
        <family val="2"/>
        <scheme val="minor"/>
      </rPr>
      <t>c_h</t>
    </r>
    <r>
      <rPr>
        <sz val="11"/>
        <color theme="1"/>
        <rFont val="Calibri"/>
        <family val="2"/>
        <scheme val="minor"/>
      </rPr>
      <t>(2)</t>
    </r>
  </si>
  <si>
    <r>
      <t>W</t>
    </r>
    <r>
      <rPr>
        <sz val="10"/>
        <color theme="1"/>
        <rFont val="Calibri"/>
        <family val="2"/>
        <scheme val="minor"/>
      </rPr>
      <t>c_v</t>
    </r>
    <r>
      <rPr>
        <sz val="11"/>
        <color theme="1"/>
        <rFont val="Calibri"/>
        <family val="2"/>
        <scheme val="minor"/>
      </rPr>
      <t>(2)</t>
    </r>
  </si>
  <si>
    <r>
      <t>W</t>
    </r>
    <r>
      <rPr>
        <sz val="10"/>
        <color theme="1"/>
        <rFont val="Calibri"/>
        <family val="2"/>
        <scheme val="minor"/>
      </rPr>
      <t>l_h</t>
    </r>
    <r>
      <rPr>
        <sz val="11"/>
        <color theme="1"/>
        <rFont val="Calibri"/>
        <family val="2"/>
        <scheme val="minor"/>
      </rPr>
      <t>(2)</t>
    </r>
  </si>
  <si>
    <r>
      <t>W</t>
    </r>
    <r>
      <rPr>
        <sz val="10"/>
        <color theme="1"/>
        <rFont val="Calibri"/>
        <family val="2"/>
        <scheme val="minor"/>
      </rPr>
      <t>l_v</t>
    </r>
    <r>
      <rPr>
        <sz val="11"/>
        <color theme="1"/>
        <rFont val="Calibri"/>
        <family val="2"/>
        <scheme val="minor"/>
      </rPr>
      <t>(2)</t>
    </r>
  </si>
  <si>
    <t>Wh(2)</t>
  </si>
  <si>
    <t>Wv(2)</t>
  </si>
  <si>
    <t>W(2)</t>
  </si>
  <si>
    <r>
      <t>W</t>
    </r>
    <r>
      <rPr>
        <sz val="10"/>
        <color theme="1"/>
        <rFont val="Calibri"/>
        <family val="2"/>
        <scheme val="minor"/>
      </rPr>
      <t>c_h</t>
    </r>
    <r>
      <rPr>
        <sz val="11"/>
        <color theme="1"/>
        <rFont val="Calibri"/>
        <family val="2"/>
        <scheme val="minor"/>
      </rPr>
      <t>(3)</t>
    </r>
  </si>
  <si>
    <r>
      <t>W</t>
    </r>
    <r>
      <rPr>
        <sz val="10"/>
        <color theme="1"/>
        <rFont val="Calibri"/>
        <family val="2"/>
        <scheme val="minor"/>
      </rPr>
      <t>c_v</t>
    </r>
    <r>
      <rPr>
        <sz val="11"/>
        <color theme="1"/>
        <rFont val="Calibri"/>
        <family val="2"/>
        <scheme val="minor"/>
      </rPr>
      <t>(3)</t>
    </r>
  </si>
  <si>
    <r>
      <t>W</t>
    </r>
    <r>
      <rPr>
        <sz val="10"/>
        <color theme="1"/>
        <rFont val="Calibri"/>
        <family val="2"/>
        <scheme val="minor"/>
      </rPr>
      <t>l_h</t>
    </r>
    <r>
      <rPr>
        <sz val="11"/>
        <color theme="1"/>
        <rFont val="Calibri"/>
        <family val="2"/>
        <scheme val="minor"/>
      </rPr>
      <t>(3)</t>
    </r>
  </si>
  <si>
    <r>
      <t>W</t>
    </r>
    <r>
      <rPr>
        <sz val="10"/>
        <color theme="1"/>
        <rFont val="Calibri"/>
        <family val="2"/>
        <scheme val="minor"/>
      </rPr>
      <t>l_v</t>
    </r>
    <r>
      <rPr>
        <sz val="11"/>
        <color theme="1"/>
        <rFont val="Calibri"/>
        <family val="2"/>
        <scheme val="minor"/>
      </rPr>
      <t>(3)</t>
    </r>
  </si>
  <si>
    <t>Wh(3)</t>
  </si>
  <si>
    <t>Wv(3)</t>
  </si>
  <si>
    <t>W(3)</t>
  </si>
  <si>
    <t>Load Capacity (integal)</t>
  </si>
  <si>
    <t>k_eq</t>
  </si>
  <si>
    <r>
      <t>h</t>
    </r>
    <r>
      <rPr>
        <sz val="9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[mm]</t>
    </r>
  </si>
  <si>
    <r>
      <rPr>
        <b/>
        <sz val="12"/>
        <color theme="1"/>
        <rFont val="Calibri"/>
        <family val="2"/>
        <scheme val="minor"/>
      </rPr>
      <t>variando C</t>
    </r>
    <r>
      <rPr>
        <sz val="12"/>
        <color theme="1"/>
        <rFont val="Calibri"/>
        <family val="2"/>
        <scheme val="minor"/>
      </rPr>
      <t xml:space="preserve"> (l=500mm; dc=1mm; Ps=50bar)</t>
    </r>
  </si>
  <si>
    <t>k pad [N/um]</t>
  </si>
  <si>
    <r>
      <t>dc=1 mm; Ps=50 bar; h</t>
    </r>
    <r>
      <rPr>
        <sz val="9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=0,03 mm; C=17,46 mm</t>
    </r>
  </si>
  <si>
    <t>k pad</t>
  </si>
  <si>
    <r>
      <t>h</t>
    </r>
    <r>
      <rPr>
        <sz val="9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/h</t>
    </r>
    <r>
      <rPr>
        <sz val="9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[mm]</t>
    </r>
  </si>
  <si>
    <t>PHASE AND AMPLITUDE</t>
  </si>
  <si>
    <t>A</t>
  </si>
  <si>
    <t>ω</t>
  </si>
  <si>
    <r>
      <t>ω/ω</t>
    </r>
    <r>
      <rPr>
        <sz val="8"/>
        <color theme="1"/>
        <rFont val="Calibri"/>
        <family val="2"/>
      </rPr>
      <t>n</t>
    </r>
  </si>
  <si>
    <t>C</t>
  </si>
  <si>
    <t>D</t>
  </si>
  <si>
    <t>X/Y</t>
  </si>
  <si>
    <r>
      <t>λ</t>
    </r>
    <r>
      <rPr>
        <sz val="9.9"/>
        <color theme="1"/>
        <rFont val="Calibri"/>
        <family val="2"/>
      </rPr>
      <t>hsY/W</t>
    </r>
  </si>
  <si>
    <t>AMPLITUDE</t>
  </si>
  <si>
    <t>PHASE</t>
  </si>
  <si>
    <r>
      <rPr>
        <sz val="11"/>
        <color theme="1"/>
        <rFont val="Calibri"/>
        <family val="2"/>
      </rPr>
      <t>φ</t>
    </r>
    <r>
      <rPr>
        <sz val="7.7"/>
        <color theme="1"/>
        <rFont val="Calibri"/>
        <family val="2"/>
      </rPr>
      <t>1</t>
    </r>
  </si>
  <si>
    <r>
      <t>λ</t>
    </r>
    <r>
      <rPr>
        <sz val="9.9"/>
        <color theme="1"/>
        <rFont val="Calibri"/>
        <family val="2"/>
      </rPr>
      <t>hsX/W</t>
    </r>
  </si>
  <si>
    <t xml:space="preserve">Vertical direction </t>
  </si>
  <si>
    <t>Equation (21)</t>
  </si>
  <si>
    <t>Equation (17)</t>
  </si>
  <si>
    <r>
      <rPr>
        <sz val="11"/>
        <color theme="1"/>
        <rFont val="Calibri"/>
        <family val="2"/>
      </rPr>
      <t>φ</t>
    </r>
    <r>
      <rPr>
        <sz val="7.7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</si>
  <si>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Calibri"/>
        <family val="2"/>
      </rPr>
      <t>φ</t>
    </r>
    <r>
      <rPr>
        <sz val="7.7"/>
        <color theme="1"/>
        <rFont val="Calibri"/>
        <family val="2"/>
      </rPr>
      <t>3</t>
    </r>
    <r>
      <rPr>
        <sz val="11"/>
        <color theme="1"/>
        <rFont val="Calibri"/>
        <family val="2"/>
        <scheme val="minor"/>
      </rPr>
      <t/>
    </r>
  </si>
  <si>
    <t>Bronzo</t>
  </si>
  <si>
    <t>[mm]</t>
  </si>
  <si>
    <t>Condizione limite Pr=50 bar</t>
  </si>
  <si>
    <r>
      <t>SPOSTAMENTO MAX [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m]</t>
    </r>
  </si>
  <si>
    <r>
      <t>Raggio supporto</t>
    </r>
    <r>
      <rPr>
        <b/>
        <sz val="11"/>
        <color theme="1"/>
        <rFont val="Calibri"/>
        <family val="2"/>
      </rPr>
      <t xml:space="preserve"> r</t>
    </r>
    <r>
      <rPr>
        <b/>
        <sz val="9"/>
        <color theme="1"/>
        <rFont val="Calibri"/>
        <family val="2"/>
      </rPr>
      <t>s</t>
    </r>
  </si>
  <si>
    <r>
      <t xml:space="preserve">Spessore </t>
    </r>
    <r>
      <rPr>
        <b/>
        <sz val="11"/>
        <color theme="1"/>
        <rFont val="Calibri"/>
        <family val="2"/>
        <scheme val="minor"/>
      </rPr>
      <t>s</t>
    </r>
  </si>
  <si>
    <r>
      <t xml:space="preserve">Profondità supporto </t>
    </r>
    <r>
      <rPr>
        <b/>
        <sz val="11"/>
        <color theme="1"/>
        <rFont val="Calibri"/>
        <family val="2"/>
      </rPr>
      <t>ϳ</t>
    </r>
  </si>
  <si>
    <t>Acciaio (30CrNiMo8)</t>
  </si>
  <si>
    <r>
      <t>Pattino da disegno fornito (L=78,5 mm; C=8 mm)</t>
    </r>
    <r>
      <rPr>
        <sz val="11"/>
        <color theme="1"/>
        <rFont val="Calibri"/>
        <family val="2"/>
        <scheme val="minor"/>
      </rPr>
      <t xml:space="preserve"> - Supporto in Acciaio (30CrNiMo8)</t>
    </r>
  </si>
  <si>
    <t>s1</t>
  </si>
  <si>
    <t>s2</t>
  </si>
  <si>
    <t>δ(=A)</t>
  </si>
  <si>
    <t>y(t)</t>
  </si>
  <si>
    <t>t [s]</t>
  </si>
  <si>
    <t>y(t) step</t>
  </si>
  <si>
    <t>pad piccolo</t>
  </si>
  <si>
    <t>pad 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</si>
</sst>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E+00"/>
    <numFmt numFmtId="166" formatCode="0.0"/>
    <numFmt numFmtId="167" formatCode="0.000000"/>
    <numFmt numFmtId="168" formatCode="0.0E+00"/>
    <numFmt numFmtId="169" formatCode="0.00000000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.9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b/>
      <sz val="9"/>
      <color theme="1" tint="0.499984740745262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sz val="12"/>
      <color theme="1" tint="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7.7"/>
      <color theme="1"/>
      <name val="Calibri"/>
      <family val="2"/>
    </font>
    <font>
      <b/>
      <sz val="12"/>
      <color theme="1"/>
      <name val="Calibri"/>
      <family val="2"/>
    </font>
    <font>
      <b/>
      <sz val="8.4"/>
      <color theme="1"/>
      <name val="Calibri"/>
      <family val="2"/>
    </font>
    <font>
      <sz val="8"/>
      <color theme="1"/>
      <name val="Calibri"/>
      <family val="2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/>
      <top/>
      <bottom style="slantDashDot">
        <color indexed="64"/>
      </bottom>
      <diagonal/>
    </border>
    <border>
      <left style="slantDashDot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/>
      <top style="slantDashDot">
        <color indexed="64"/>
      </top>
      <bottom style="thin">
        <color indexed="64"/>
      </bottom>
      <diagonal/>
    </border>
    <border>
      <left/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/>
      <right style="slantDashDot">
        <color indexed="64"/>
      </right>
      <top style="thin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 style="thin">
        <color indexed="64"/>
      </bottom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slantDashDot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67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/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/>
    <xf numFmtId="2" fontId="0" fillId="0" borderId="0" xfId="0" applyNumberFormat="1"/>
    <xf numFmtId="165" fontId="0" fillId="0" borderId="0" xfId="0" applyNumberFormat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0" borderId="5" xfId="0" applyBorder="1"/>
    <xf numFmtId="0" fontId="0" fillId="0" borderId="17" xfId="0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4" borderId="0" xfId="0" applyFill="1"/>
    <xf numFmtId="0" fontId="13" fillId="0" borderId="0" xfId="1"/>
    <xf numFmtId="0" fontId="1" fillId="0" borderId="0" xfId="0" applyFont="1" applyBorder="1" applyAlignment="1">
      <alignment horizontal="left" vertical="center"/>
    </xf>
    <xf numFmtId="0" fontId="14" fillId="2" borderId="0" xfId="0" applyFont="1" applyFill="1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7" xfId="0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1" fontId="0" fillId="0" borderId="9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4" fontId="0" fillId="2" borderId="0" xfId="0" applyNumberFormat="1" applyFill="1" applyBorder="1" applyAlignment="1">
      <alignment horizontal="center" vertical="center"/>
    </xf>
    <xf numFmtId="0" fontId="1" fillId="13" borderId="7" xfId="0" applyFont="1" applyFill="1" applyBorder="1" applyAlignment="1">
      <alignment horizontal="center" vertical="center"/>
    </xf>
    <xf numFmtId="0" fontId="0" fillId="10" borderId="9" xfId="0" applyFont="1" applyFill="1" applyBorder="1" applyAlignment="1">
      <alignment horizontal="center" vertical="center"/>
    </xf>
    <xf numFmtId="2" fontId="0" fillId="10" borderId="9" xfId="0" applyNumberFormat="1" applyFont="1" applyFill="1" applyBorder="1" applyAlignment="1">
      <alignment horizontal="center" vertical="center"/>
    </xf>
    <xf numFmtId="0" fontId="0" fillId="10" borderId="17" xfId="0" applyFont="1" applyFill="1" applyBorder="1" applyAlignment="1">
      <alignment vertical="center"/>
    </xf>
    <xf numFmtId="2" fontId="0" fillId="9" borderId="0" xfId="0" applyNumberForma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164" fontId="0" fillId="5" borderId="7" xfId="0" applyNumberForma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164" fontId="0" fillId="10" borderId="7" xfId="0" applyNumberFormat="1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20" xfId="0" applyFont="1" applyFill="1" applyBorder="1" applyAlignment="1">
      <alignment vertical="center"/>
    </xf>
    <xf numFmtId="0" fontId="1" fillId="13" borderId="15" xfId="0" applyFont="1" applyFill="1" applyBorder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vertical="center"/>
    </xf>
    <xf numFmtId="1" fontId="0" fillId="5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12" borderId="9" xfId="0" applyFont="1" applyFill="1" applyBorder="1"/>
    <xf numFmtId="0" fontId="0" fillId="12" borderId="9" xfId="0" applyFill="1" applyBorder="1" applyAlignment="1">
      <alignment horizontal="center" vertical="center"/>
    </xf>
    <xf numFmtId="2" fontId="0" fillId="12" borderId="9" xfId="0" applyNumberFormat="1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/>
    </xf>
    <xf numFmtId="0" fontId="0" fillId="12" borderId="15" xfId="0" applyFill="1" applyBorder="1" applyAlignment="1">
      <alignment horizontal="center" vertical="center"/>
    </xf>
    <xf numFmtId="0" fontId="0" fillId="12" borderId="20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2" fontId="0" fillId="12" borderId="7" xfId="0" applyNumberFormat="1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2" fontId="0" fillId="12" borderId="17" xfId="0" applyNumberFormat="1" applyFill="1" applyBorder="1"/>
    <xf numFmtId="2" fontId="0" fillId="12" borderId="8" xfId="0" applyNumberFormat="1" applyFill="1" applyBorder="1"/>
    <xf numFmtId="0" fontId="1" fillId="13" borderId="7" xfId="0" quotePrefix="1" applyFont="1" applyFill="1" applyBorder="1" applyAlignment="1">
      <alignment horizontal="center" vertical="center"/>
    </xf>
    <xf numFmtId="2" fontId="0" fillId="12" borderId="15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center" vertical="center"/>
    </xf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/>
    <xf numFmtId="0" fontId="0" fillId="0" borderId="8" xfId="0" applyBorder="1"/>
    <xf numFmtId="0" fontId="0" fillId="10" borderId="2" xfId="0" applyFill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/>
    <xf numFmtId="164" fontId="0" fillId="9" borderId="0" xfId="0" applyNumberFormat="1" applyFill="1" applyBorder="1" applyAlignment="1">
      <alignment horizontal="center" vertical="center"/>
    </xf>
    <xf numFmtId="2" fontId="0" fillId="9" borderId="7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" fillId="17" borderId="0" xfId="0" applyFont="1" applyFill="1"/>
    <xf numFmtId="165" fontId="0" fillId="17" borderId="0" xfId="0" applyNumberFormat="1" applyFill="1" applyAlignment="1">
      <alignment horizontal="center" vertical="center"/>
    </xf>
    <xf numFmtId="2" fontId="0" fillId="17" borderId="0" xfId="0" applyNumberFormat="1" applyFill="1" applyAlignment="1">
      <alignment horizontal="center" vertical="center"/>
    </xf>
    <xf numFmtId="0" fontId="0" fillId="17" borderId="0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0" fillId="0" borderId="22" xfId="0" applyBorder="1" applyAlignment="1">
      <alignment horizontal="center"/>
    </xf>
    <xf numFmtId="0" fontId="1" fillId="0" borderId="22" xfId="0" applyFont="1" applyBorder="1"/>
    <xf numFmtId="0" fontId="0" fillId="2" borderId="22" xfId="0" applyFill="1" applyBorder="1" applyAlignment="1">
      <alignment horizontal="center" vertical="center"/>
    </xf>
    <xf numFmtId="0" fontId="0" fillId="0" borderId="0" xfId="0" applyBorder="1" applyAlignment="1"/>
    <xf numFmtId="0" fontId="3" fillId="0" borderId="22" xfId="0" applyFont="1" applyBorder="1" applyAlignment="1">
      <alignment horizontal="center" vertical="center"/>
    </xf>
    <xf numFmtId="0" fontId="0" fillId="0" borderId="0" xfId="0"/>
    <xf numFmtId="0" fontId="0" fillId="0" borderId="0" xfId="0" applyNumberFormat="1"/>
    <xf numFmtId="166" fontId="0" fillId="0" borderId="0" xfId="0" applyNumberFormat="1"/>
    <xf numFmtId="0" fontId="0" fillId="0" borderId="11" xfId="0" applyBorder="1"/>
    <xf numFmtId="0" fontId="0" fillId="11" borderId="0" xfId="0" applyFill="1"/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0" xfId="0" applyBorder="1"/>
    <xf numFmtId="1" fontId="0" fillId="0" borderId="17" xfId="0" applyNumberFormat="1" applyBorder="1" applyAlignment="1">
      <alignment horizontal="center" vertical="center"/>
    </xf>
    <xf numFmtId="0" fontId="1" fillId="15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1" fontId="0" fillId="0" borderId="0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15" borderId="9" xfId="0" applyFont="1" applyFill="1" applyBorder="1"/>
    <xf numFmtId="2" fontId="20" fillId="15" borderId="9" xfId="0" applyNumberFormat="1" applyFont="1" applyFill="1" applyBorder="1" applyAlignment="1">
      <alignment horizontal="center" vertical="center"/>
    </xf>
    <xf numFmtId="0" fontId="20" fillId="15" borderId="17" xfId="0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Border="1"/>
    <xf numFmtId="0" fontId="20" fillId="0" borderId="0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15" borderId="9" xfId="0" applyFont="1" applyFill="1" applyBorder="1" applyAlignment="1">
      <alignment horizontal="center"/>
    </xf>
    <xf numFmtId="2" fontId="20" fillId="15" borderId="9" xfId="0" applyNumberFormat="1" applyFont="1" applyFill="1" applyBorder="1" applyAlignment="1">
      <alignment horizontal="center"/>
    </xf>
    <xf numFmtId="0" fontId="20" fillId="0" borderId="7" xfId="0" applyFont="1" applyBorder="1"/>
    <xf numFmtId="0" fontId="20" fillId="0" borderId="8" xfId="0" applyFont="1" applyBorder="1" applyAlignment="1">
      <alignment horizontal="center" vertical="center"/>
    </xf>
    <xf numFmtId="0" fontId="20" fillId="15" borderId="17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19" fillId="0" borderId="16" xfId="0" applyFont="1" applyBorder="1" applyAlignment="1">
      <alignment horizontal="left"/>
    </xf>
    <xf numFmtId="0" fontId="19" fillId="0" borderId="9" xfId="0" applyFont="1" applyBorder="1" applyAlignment="1">
      <alignment horizontal="left"/>
    </xf>
    <xf numFmtId="0" fontId="20" fillId="0" borderId="9" xfId="0" applyFont="1" applyFill="1" applyBorder="1" applyAlignment="1">
      <alignment horizontal="center" vertical="center"/>
    </xf>
    <xf numFmtId="2" fontId="20" fillId="0" borderId="9" xfId="0" applyNumberFormat="1" applyFont="1" applyBorder="1"/>
    <xf numFmtId="0" fontId="20" fillId="0" borderId="17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2" fontId="20" fillId="0" borderId="0" xfId="0" applyNumberFormat="1" applyFont="1" applyBorder="1"/>
    <xf numFmtId="0" fontId="25" fillId="15" borderId="6" xfId="0" applyFont="1" applyFill="1" applyBorder="1"/>
    <xf numFmtId="0" fontId="26" fillId="15" borderId="7" xfId="0" applyFont="1" applyFill="1" applyBorder="1"/>
    <xf numFmtId="0" fontId="26" fillId="15" borderId="7" xfId="0" applyFont="1" applyFill="1" applyBorder="1" applyAlignment="1">
      <alignment horizontal="center" vertical="center"/>
    </xf>
    <xf numFmtId="2" fontId="26" fillId="15" borderId="7" xfId="0" applyNumberFormat="1" applyFont="1" applyFill="1" applyBorder="1"/>
    <xf numFmtId="0" fontId="26" fillId="15" borderId="8" xfId="0" applyFont="1" applyFill="1" applyBorder="1" applyAlignment="1">
      <alignment horizontal="center" vertical="center"/>
    </xf>
    <xf numFmtId="0" fontId="14" fillId="10" borderId="22" xfId="0" applyFont="1" applyFill="1" applyBorder="1" applyAlignment="1">
      <alignment horizontal="center"/>
    </xf>
    <xf numFmtId="0" fontId="0" fillId="10" borderId="22" xfId="0" applyFill="1" applyBorder="1" applyAlignment="1">
      <alignment horizontal="center" vertical="center"/>
    </xf>
    <xf numFmtId="2" fontId="0" fillId="10" borderId="0" xfId="0" applyNumberFormat="1" applyFill="1" applyBorder="1" applyAlignment="1">
      <alignment horizontal="center" vertical="center"/>
    </xf>
    <xf numFmtId="0" fontId="0" fillId="0" borderId="0" xfId="0"/>
    <xf numFmtId="0" fontId="3" fillId="9" borderId="7" xfId="0" applyFont="1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0" borderId="0" xfId="0"/>
    <xf numFmtId="1" fontId="0" fillId="5" borderId="2" xfId="0" applyNumberFormat="1" applyFill="1" applyBorder="1" applyAlignment="1">
      <alignment horizontal="center"/>
    </xf>
    <xf numFmtId="0" fontId="0" fillId="5" borderId="8" xfId="0" applyFill="1" applyBorder="1" applyAlignment="1">
      <alignment horizontal="center" vertical="center"/>
    </xf>
    <xf numFmtId="1" fontId="0" fillId="11" borderId="2" xfId="0" applyNumberFormat="1" applyFill="1" applyBorder="1" applyAlignment="1">
      <alignment horizontal="center"/>
    </xf>
    <xf numFmtId="0" fontId="0" fillId="11" borderId="8" xfId="0" applyFill="1" applyBorder="1" applyAlignment="1">
      <alignment horizontal="center" vertical="center"/>
    </xf>
    <xf numFmtId="166" fontId="0" fillId="0" borderId="9" xfId="0" applyNumberFormat="1" applyBorder="1" applyAlignment="1">
      <alignment horizontal="center"/>
    </xf>
    <xf numFmtId="2" fontId="0" fillId="0" borderId="9" xfId="0" applyNumberFormat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166" fontId="0" fillId="13" borderId="0" xfId="0" applyNumberFormat="1" applyFill="1" applyBorder="1" applyAlignment="1">
      <alignment horizontal="center"/>
    </xf>
    <xf numFmtId="2" fontId="0" fillId="13" borderId="0" xfId="0" applyNumberFormat="1" applyFill="1" applyBorder="1" applyAlignment="1">
      <alignment horizontal="center" vertical="center"/>
    </xf>
    <xf numFmtId="0" fontId="0" fillId="13" borderId="0" xfId="0" applyFill="1" applyBorder="1" applyAlignment="1">
      <alignment horizontal="center" vertical="center"/>
    </xf>
    <xf numFmtId="1" fontId="0" fillId="13" borderId="2" xfId="0" applyNumberFormat="1" applyFill="1" applyBorder="1" applyAlignment="1">
      <alignment horizontal="center"/>
    </xf>
    <xf numFmtId="0" fontId="0" fillId="18" borderId="0" xfId="0" applyFill="1"/>
    <xf numFmtId="0" fontId="0" fillId="18" borderId="0" xfId="0" applyFill="1" applyBorder="1" applyAlignment="1">
      <alignment horizontal="center" vertical="center"/>
    </xf>
    <xf numFmtId="11" fontId="0" fillId="18" borderId="0" xfId="0" applyNumberFormat="1" applyFill="1"/>
    <xf numFmtId="0" fontId="0" fillId="18" borderId="0" xfId="0" applyFill="1" applyAlignment="1"/>
    <xf numFmtId="0" fontId="0" fillId="18" borderId="0" xfId="0" applyFill="1" applyBorder="1" applyAlignment="1">
      <alignment vertical="center"/>
    </xf>
    <xf numFmtId="0" fontId="0" fillId="18" borderId="0" xfId="0" applyFill="1" applyBorder="1" applyAlignment="1"/>
    <xf numFmtId="0" fontId="0" fillId="18" borderId="0" xfId="0" applyFill="1" applyBorder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/>
    <xf numFmtId="0" fontId="0" fillId="10" borderId="17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11" borderId="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13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13" borderId="2" xfId="0" applyNumberFormat="1" applyFill="1" applyBorder="1" applyAlignment="1">
      <alignment horizontal="center" vertical="center"/>
    </xf>
    <xf numFmtId="0" fontId="0" fillId="19" borderId="2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6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1" fontId="0" fillId="0" borderId="11" xfId="0" applyNumberFormat="1" applyFill="1" applyBorder="1" applyAlignment="1">
      <alignment horizontal="center" vertical="center"/>
    </xf>
    <xf numFmtId="0" fontId="0" fillId="17" borderId="14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1" fillId="17" borderId="9" xfId="0" applyFont="1" applyFill="1" applyBorder="1" applyAlignment="1">
      <alignment horizontal="center" vertical="center"/>
    </xf>
    <xf numFmtId="0" fontId="1" fillId="17" borderId="30" xfId="0" applyFont="1" applyFill="1" applyBorder="1" applyAlignment="1">
      <alignment horizontal="center" vertical="center"/>
    </xf>
    <xf numFmtId="0" fontId="0" fillId="17" borderId="31" xfId="0" applyFill="1" applyBorder="1"/>
    <xf numFmtId="0" fontId="0" fillId="17" borderId="13" xfId="0" applyFill="1" applyBorder="1" applyAlignment="1">
      <alignment horizontal="center" vertical="center"/>
    </xf>
    <xf numFmtId="2" fontId="0" fillId="17" borderId="13" xfId="0" applyNumberFormat="1" applyFill="1" applyBorder="1" applyAlignment="1">
      <alignment horizontal="center" vertical="center"/>
    </xf>
    <xf numFmtId="0" fontId="3" fillId="0" borderId="0" xfId="0" applyFont="1"/>
    <xf numFmtId="166" fontId="0" fillId="0" borderId="0" xfId="0" applyNumberFormat="1" applyAlignment="1">
      <alignment horizontal="center" vertical="center"/>
    </xf>
    <xf numFmtId="0" fontId="1" fillId="17" borderId="17" xfId="0" applyFont="1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1" fontId="0" fillId="10" borderId="0" xfId="0" applyNumberFormat="1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2" fontId="0" fillId="17" borderId="12" xfId="0" applyNumberFormat="1" applyFill="1" applyBorder="1" applyAlignment="1">
      <alignment horizontal="center" vertical="center"/>
    </xf>
    <xf numFmtId="2" fontId="0" fillId="17" borderId="29" xfId="0" applyNumberForma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1" fillId="17" borderId="31" xfId="0" applyFont="1" applyFill="1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1" fontId="0" fillId="0" borderId="12" xfId="0" applyNumberFormat="1" applyFill="1" applyBorder="1" applyAlignment="1">
      <alignment horizontal="center" vertical="center"/>
    </xf>
    <xf numFmtId="1" fontId="0" fillId="0" borderId="13" xfId="0" applyNumberFormat="1" applyFill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1" fillId="13" borderId="21" xfId="0" applyFont="1" applyFill="1" applyBorder="1" applyAlignment="1">
      <alignment horizontal="center" vertical="center"/>
    </xf>
    <xf numFmtId="0" fontId="1" fillId="13" borderId="20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11" borderId="36" xfId="0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2" fontId="0" fillId="3" borderId="38" xfId="0" applyNumberFormat="1" applyFill="1" applyBorder="1" applyAlignment="1">
      <alignment horizontal="center"/>
    </xf>
    <xf numFmtId="0" fontId="0" fillId="0" borderId="39" xfId="0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2" xfId="0" applyNumberFormat="1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0" fillId="11" borderId="17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20" borderId="2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0" fillId="20" borderId="0" xfId="0" applyFill="1" applyBorder="1" applyAlignment="1">
      <alignment horizontal="center" vertical="center"/>
    </xf>
    <xf numFmtId="0" fontId="0" fillId="10" borderId="20" xfId="0" applyFill="1" applyBorder="1" applyAlignment="1"/>
    <xf numFmtId="0" fontId="0" fillId="11" borderId="0" xfId="0" applyFill="1" applyBorder="1" applyAlignment="1">
      <alignment horizontal="center"/>
    </xf>
    <xf numFmtId="0" fontId="0" fillId="20" borderId="1" xfId="0" applyFill="1" applyBorder="1" applyAlignment="1">
      <alignment horizontal="center"/>
    </xf>
    <xf numFmtId="0" fontId="0" fillId="20" borderId="0" xfId="0" applyFill="1" applyBorder="1" applyAlignment="1">
      <alignment horizontal="center"/>
    </xf>
    <xf numFmtId="0" fontId="0" fillId="11" borderId="7" xfId="0" applyFill="1" applyBorder="1" applyAlignment="1">
      <alignment horizontal="center"/>
    </xf>
    <xf numFmtId="0" fontId="0" fillId="10" borderId="20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25" xfId="0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0" fontId="0" fillId="18" borderId="0" xfId="0" applyFill="1" applyAlignment="1">
      <alignment horizontal="center"/>
    </xf>
    <xf numFmtId="0" fontId="1" fillId="21" borderId="15" xfId="0" applyFont="1" applyFill="1" applyBorder="1" applyAlignment="1">
      <alignment horizontal="center" vertical="center"/>
    </xf>
    <xf numFmtId="0" fontId="1" fillId="21" borderId="7" xfId="0" applyFont="1" applyFill="1" applyBorder="1" applyAlignment="1">
      <alignment horizontal="center" vertical="center"/>
    </xf>
    <xf numFmtId="0" fontId="0" fillId="6" borderId="23" xfId="0" applyFill="1" applyBorder="1" applyAlignment="1"/>
    <xf numFmtId="0" fontId="0" fillId="6" borderId="24" xfId="0" applyFill="1" applyBorder="1" applyAlignment="1"/>
    <xf numFmtId="0" fontId="1" fillId="6" borderId="24" xfId="0" applyFont="1" applyFill="1" applyBorder="1" applyAlignment="1">
      <alignment horizontal="center"/>
    </xf>
    <xf numFmtId="0" fontId="1" fillId="6" borderId="40" xfId="0" applyFont="1" applyFill="1" applyBorder="1" applyAlignment="1">
      <alignment horizontal="center"/>
    </xf>
    <xf numFmtId="0" fontId="1" fillId="0" borderId="22" xfId="0" applyFont="1" applyBorder="1" applyAlignment="1">
      <alignment horizontal="left"/>
    </xf>
    <xf numFmtId="2" fontId="0" fillId="0" borderId="22" xfId="0" applyNumberFormat="1" applyBorder="1" applyAlignment="1">
      <alignment horizontal="center" vertical="center"/>
    </xf>
    <xf numFmtId="0" fontId="0" fillId="0" borderId="22" xfId="0" applyBorder="1"/>
    <xf numFmtId="0" fontId="0" fillId="0" borderId="22" xfId="0" applyFill="1" applyBorder="1" applyAlignment="1">
      <alignment horizontal="center" vertical="center"/>
    </xf>
    <xf numFmtId="2" fontId="0" fillId="0" borderId="22" xfId="0" applyNumberForma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/>
    </xf>
    <xf numFmtId="2" fontId="0" fillId="0" borderId="11" xfId="0" applyNumberFormat="1" applyFill="1" applyBorder="1" applyAlignment="1">
      <alignment horizontal="center" vertical="center"/>
    </xf>
    <xf numFmtId="0" fontId="3" fillId="0" borderId="3" xfId="0" applyFont="1" applyBorder="1" applyAlignment="1"/>
    <xf numFmtId="0" fontId="3" fillId="0" borderId="10" xfId="0" applyFont="1" applyBorder="1" applyAlignment="1"/>
    <xf numFmtId="0" fontId="3" fillId="0" borderId="4" xfId="0" applyFont="1" applyBorder="1" applyAlignment="1"/>
    <xf numFmtId="0" fontId="0" fillId="0" borderId="9" xfId="0" applyBorder="1" applyAlignment="1">
      <alignment horizontal="center" vertical="center"/>
    </xf>
    <xf numFmtId="0" fontId="0" fillId="0" borderId="0" xfId="0"/>
    <xf numFmtId="0" fontId="0" fillId="10" borderId="8" xfId="0" applyFill="1" applyBorder="1" applyAlignment="1">
      <alignment horizontal="center" vertical="center"/>
    </xf>
    <xf numFmtId="0" fontId="0" fillId="0" borderId="0" xfId="0"/>
    <xf numFmtId="1" fontId="0" fillId="0" borderId="0" xfId="0" applyNumberFormat="1"/>
    <xf numFmtId="0" fontId="0" fillId="14" borderId="9" xfId="0" applyFill="1" applyBorder="1" applyAlignment="1">
      <alignment horizontal="center" vertical="center"/>
    </xf>
    <xf numFmtId="0" fontId="0" fillId="14" borderId="0" xfId="0" applyFill="1" applyBorder="1" applyAlignment="1">
      <alignment horizontal="center" vertical="center"/>
    </xf>
    <xf numFmtId="0" fontId="0" fillId="14" borderId="7" xfId="0" applyFill="1" applyBorder="1" applyAlignment="1">
      <alignment horizontal="center" vertical="center"/>
    </xf>
    <xf numFmtId="1" fontId="0" fillId="14" borderId="7" xfId="0" applyNumberForma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1" fontId="0" fillId="14" borderId="7" xfId="0" applyNumberFormat="1" applyFill="1" applyBorder="1" applyAlignment="1">
      <alignment horizontal="center"/>
    </xf>
    <xf numFmtId="0" fontId="0" fillId="14" borderId="8" xfId="0" applyFill="1" applyBorder="1" applyAlignment="1">
      <alignment horizontal="center"/>
    </xf>
    <xf numFmtId="0" fontId="0" fillId="10" borderId="7" xfId="0" applyFill="1" applyBorder="1" applyAlignment="1">
      <alignment horizontal="center" vertical="center"/>
    </xf>
    <xf numFmtId="1" fontId="0" fillId="10" borderId="7" xfId="0" applyNumberFormat="1" applyFill="1" applyBorder="1" applyAlignment="1">
      <alignment horizontal="center" vertical="center"/>
    </xf>
    <xf numFmtId="1" fontId="0" fillId="10" borderId="7" xfId="0" applyNumberForma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4" borderId="21" xfId="0" applyFill="1" applyBorder="1" applyAlignment="1">
      <alignment horizontal="center" vertical="center"/>
    </xf>
    <xf numFmtId="0" fontId="0" fillId="14" borderId="15" xfId="0" applyFill="1" applyBorder="1" applyAlignment="1">
      <alignment horizontal="center" vertical="center"/>
    </xf>
    <xf numFmtId="1" fontId="0" fillId="14" borderId="15" xfId="0" applyNumberFormat="1" applyFill="1" applyBorder="1" applyAlignment="1">
      <alignment horizontal="center" vertical="center"/>
    </xf>
    <xf numFmtId="0" fontId="0" fillId="14" borderId="20" xfId="0" applyFill="1" applyBorder="1" applyAlignment="1">
      <alignment horizontal="center" vertical="center"/>
    </xf>
    <xf numFmtId="0" fontId="0" fillId="10" borderId="21" xfId="0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1" fontId="0" fillId="10" borderId="15" xfId="0" applyNumberFormat="1" applyFill="1" applyBorder="1" applyAlignment="1">
      <alignment horizontal="center" vertical="center"/>
    </xf>
    <xf numFmtId="1" fontId="0" fillId="14" borderId="9" xfId="0" applyNumberFormat="1" applyFill="1" applyBorder="1" applyAlignment="1">
      <alignment horizontal="center"/>
    </xf>
    <xf numFmtId="0" fontId="0" fillId="14" borderId="17" xfId="0" applyFill="1" applyBorder="1" applyAlignment="1">
      <alignment horizontal="center"/>
    </xf>
    <xf numFmtId="1" fontId="0" fillId="15" borderId="7" xfId="0" applyNumberFormat="1" applyFill="1" applyBorder="1" applyAlignment="1">
      <alignment horizontal="center"/>
    </xf>
    <xf numFmtId="0" fontId="0" fillId="15" borderId="8" xfId="0" applyFill="1" applyBorder="1" applyAlignment="1">
      <alignment horizontal="center"/>
    </xf>
    <xf numFmtId="11" fontId="0" fillId="0" borderId="1" xfId="0" applyNumberFormat="1" applyBorder="1" applyAlignment="1"/>
    <xf numFmtId="0" fontId="0" fillId="0" borderId="1" xfId="0" applyBorder="1" applyAlignment="1"/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" fontId="0" fillId="14" borderId="0" xfId="0" applyNumberFormat="1" applyFill="1" applyBorder="1" applyAlignment="1">
      <alignment horizontal="center" vertical="center"/>
    </xf>
    <xf numFmtId="0" fontId="0" fillId="14" borderId="2" xfId="0" applyFill="1" applyBorder="1" applyAlignment="1">
      <alignment horizontal="center" vertical="center"/>
    </xf>
    <xf numFmtId="1" fontId="0" fillId="7" borderId="15" xfId="0" applyNumberFormat="1" applyFill="1" applyBorder="1" applyAlignment="1">
      <alignment horizontal="center" vertical="center"/>
    </xf>
    <xf numFmtId="0" fontId="0" fillId="22" borderId="0" xfId="0" applyFill="1"/>
    <xf numFmtId="0" fontId="0" fillId="0" borderId="0" xfId="0"/>
    <xf numFmtId="1" fontId="0" fillId="0" borderId="7" xfId="0" applyNumberFormat="1" applyFill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2" fontId="0" fillId="0" borderId="41" xfId="0" applyNumberFormat="1" applyBorder="1" applyAlignment="1">
      <alignment horizontal="center" vertical="center"/>
    </xf>
    <xf numFmtId="1" fontId="0" fillId="0" borderId="4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" fontId="0" fillId="5" borderId="42" xfId="0" applyNumberFormat="1" applyFill="1" applyBorder="1" applyAlignment="1">
      <alignment horizontal="center" vertical="center"/>
    </xf>
    <xf numFmtId="2" fontId="0" fillId="0" borderId="43" xfId="0" applyNumberFormat="1" applyBorder="1" applyAlignment="1">
      <alignment horizontal="center" vertical="center"/>
    </xf>
    <xf numFmtId="1" fontId="0" fillId="11" borderId="42" xfId="0" applyNumberFormat="1" applyFill="1" applyBorder="1" applyAlignment="1">
      <alignment horizontal="center" vertical="center"/>
    </xf>
    <xf numFmtId="0" fontId="0" fillId="11" borderId="50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" fontId="0" fillId="11" borderId="51" xfId="0" applyNumberFormat="1" applyFill="1" applyBorder="1" applyAlignment="1">
      <alignment horizontal="center"/>
    </xf>
    <xf numFmtId="0" fontId="0" fillId="0" borderId="49" xfId="0" applyBorder="1" applyAlignment="1">
      <alignment horizontal="center" vertical="center"/>
    </xf>
    <xf numFmtId="0" fontId="0" fillId="13" borderId="49" xfId="0" applyFill="1" applyBorder="1" applyAlignment="1">
      <alignment horizontal="center" vertical="center"/>
    </xf>
    <xf numFmtId="1" fontId="0" fillId="13" borderId="51" xfId="0" applyNumberFormat="1" applyFill="1" applyBorder="1" applyAlignment="1">
      <alignment horizontal="center"/>
    </xf>
    <xf numFmtId="0" fontId="0" fillId="0" borderId="52" xfId="0" applyBorder="1" applyAlignment="1">
      <alignment horizontal="center" vertical="center"/>
    </xf>
    <xf numFmtId="1" fontId="0" fillId="11" borderId="53" xfId="0" applyNumberFormat="1" applyFill="1" applyBorder="1" applyAlignment="1">
      <alignment horizontal="center" vertical="center"/>
    </xf>
    <xf numFmtId="0" fontId="0" fillId="0" borderId="51" xfId="0" applyBorder="1"/>
    <xf numFmtId="0" fontId="0" fillId="0" borderId="41" xfId="0" applyBorder="1"/>
    <xf numFmtId="0" fontId="0" fillId="0" borderId="53" xfId="0" applyBorder="1"/>
    <xf numFmtId="0" fontId="0" fillId="0" borderId="51" xfId="0" applyFont="1" applyFill="1" applyBorder="1" applyAlignment="1">
      <alignment horizontal="center" vertical="center"/>
    </xf>
    <xf numFmtId="2" fontId="0" fillId="0" borderId="51" xfId="0" applyNumberFormat="1" applyBorder="1" applyAlignment="1">
      <alignment horizontal="center" vertical="center"/>
    </xf>
    <xf numFmtId="0" fontId="0" fillId="0" borderId="49" xfId="0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52" xfId="0" applyFill="1" applyBorder="1" applyAlignment="1">
      <alignment horizontal="center"/>
    </xf>
    <xf numFmtId="166" fontId="0" fillId="0" borderId="42" xfId="0" applyNumberFormat="1" applyFill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0" fontId="0" fillId="11" borderId="51" xfId="0" applyFill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12" borderId="49" xfId="0" applyFill="1" applyBorder="1" applyAlignment="1">
      <alignment horizontal="center" vertical="center"/>
    </xf>
    <xf numFmtId="0" fontId="0" fillId="12" borderId="51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12" borderId="52" xfId="0" applyFill="1" applyBorder="1" applyAlignment="1">
      <alignment horizontal="center" vertical="center"/>
    </xf>
    <xf numFmtId="0" fontId="0" fillId="12" borderId="43" xfId="0" applyFill="1" applyBorder="1" applyAlignment="1">
      <alignment horizontal="center" vertical="center"/>
    </xf>
    <xf numFmtId="0" fontId="0" fillId="12" borderId="57" xfId="0" applyFill="1" applyBorder="1" applyAlignment="1">
      <alignment horizontal="center" vertical="center"/>
    </xf>
    <xf numFmtId="0" fontId="0" fillId="12" borderId="42" xfId="0" applyFill="1" applyBorder="1" applyAlignment="1">
      <alignment horizontal="center" vertical="center"/>
    </xf>
    <xf numFmtId="0" fontId="0" fillId="12" borderId="53" xfId="0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/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1" fontId="0" fillId="4" borderId="17" xfId="0" applyNumberFormat="1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vertical="center"/>
    </xf>
    <xf numFmtId="1" fontId="0" fillId="4" borderId="8" xfId="0" applyNumberForma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2" fontId="0" fillId="19" borderId="1" xfId="0" applyNumberFormat="1" applyFill="1" applyBorder="1" applyAlignment="1">
      <alignment horizontal="center" vertical="center"/>
    </xf>
    <xf numFmtId="2" fontId="0" fillId="19" borderId="0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5" borderId="0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2" fontId="0" fillId="19" borderId="2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2" fontId="0" fillId="12" borderId="0" xfId="0" applyNumberFormat="1" applyFill="1" applyBorder="1" applyAlignment="1">
      <alignment horizontal="center" vertical="center"/>
    </xf>
    <xf numFmtId="0" fontId="0" fillId="12" borderId="0" xfId="0" applyFill="1" applyBorder="1" applyAlignment="1">
      <alignment horizontal="center" vertical="center"/>
    </xf>
    <xf numFmtId="0" fontId="0" fillId="19" borderId="0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2" fontId="0" fillId="12" borderId="1" xfId="0" applyNumberFormat="1" applyFill="1" applyBorder="1" applyAlignment="1">
      <alignment horizontal="center"/>
    </xf>
    <xf numFmtId="2" fontId="0" fillId="12" borderId="0" xfId="0" applyNumberFormat="1" applyFill="1" applyBorder="1" applyAlignment="1">
      <alignment horizontal="center"/>
    </xf>
    <xf numFmtId="2" fontId="0" fillId="12" borderId="2" xfId="0" applyNumberFormat="1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3" fillId="4" borderId="15" xfId="0" applyFont="1" applyFill="1" applyBorder="1" applyAlignment="1">
      <alignment horizontal="center" vertical="center" wrapText="1"/>
    </xf>
    <xf numFmtId="0" fontId="0" fillId="19" borderId="20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2" fontId="0" fillId="5" borderId="2" xfId="0" applyNumberFormat="1" applyFill="1" applyBorder="1" applyAlignment="1">
      <alignment horizontal="center" vertical="center"/>
    </xf>
    <xf numFmtId="2" fontId="0" fillId="12" borderId="2" xfId="0" applyNumberForma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169" fontId="0" fillId="0" borderId="0" xfId="0" applyNumberFormat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23" borderId="2" xfId="0" applyFill="1" applyBorder="1" applyAlignment="1">
      <alignment horizontal="center" vertical="center"/>
    </xf>
    <xf numFmtId="0" fontId="0" fillId="23" borderId="0" xfId="0" applyFill="1"/>
    <xf numFmtId="0" fontId="0" fillId="9" borderId="0" xfId="0" applyFill="1"/>
    <xf numFmtId="1" fontId="0" fillId="0" borderId="1" xfId="0" applyNumberFormat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8" borderId="21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0" fillId="3" borderId="1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1" fontId="0" fillId="9" borderId="9" xfId="0" applyNumberFormat="1" applyFont="1" applyFill="1" applyBorder="1" applyAlignment="1">
      <alignment horizontal="center" vertical="center"/>
    </xf>
    <xf numFmtId="11" fontId="0" fillId="9" borderId="7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0" fillId="5" borderId="0" xfId="0" applyNumberFormat="1" applyFont="1" applyFill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1" fontId="0" fillId="3" borderId="0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22" xfId="0" applyFont="1" applyBorder="1" applyAlignment="1">
      <alignment horizontal="left" vertical="center"/>
    </xf>
    <xf numFmtId="0" fontId="1" fillId="7" borderId="21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6" borderId="16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/>
    <xf numFmtId="11" fontId="0" fillId="10" borderId="16" xfId="0" applyNumberFormat="1" applyFill="1" applyBorder="1" applyAlignment="1">
      <alignment horizontal="center" vertical="center"/>
    </xf>
    <xf numFmtId="11" fontId="0" fillId="10" borderId="1" xfId="0" applyNumberFormat="1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11" fontId="0" fillId="10" borderId="6" xfId="0" applyNumberFormat="1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13" borderId="16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1" fillId="13" borderId="17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1" fillId="13" borderId="7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21" xfId="0" applyFont="1" applyFill="1" applyBorder="1" applyAlignment="1">
      <alignment horizontal="left" vertical="center"/>
    </xf>
    <xf numFmtId="0" fontId="1" fillId="13" borderId="15" xfId="0" applyFont="1" applyFill="1" applyBorder="1" applyAlignment="1">
      <alignment horizontal="left" vertical="center"/>
    </xf>
    <xf numFmtId="0" fontId="0" fillId="5" borderId="0" xfId="0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1" fillId="12" borderId="21" xfId="0" applyFont="1" applyFill="1" applyBorder="1" applyAlignment="1">
      <alignment horizontal="center" vertical="center"/>
    </xf>
    <xf numFmtId="0" fontId="1" fillId="12" borderId="1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0" fillId="14" borderId="0" xfId="0" applyFill="1" applyBorder="1" applyAlignment="1">
      <alignment horizontal="left" vertical="center" indent="1"/>
    </xf>
    <xf numFmtId="0" fontId="0" fillId="14" borderId="9" xfId="0" applyFill="1" applyBorder="1" applyAlignment="1">
      <alignment horizontal="left" vertical="center" indent="1"/>
    </xf>
    <xf numFmtId="0" fontId="33" fillId="10" borderId="18" xfId="0" applyFont="1" applyFill="1" applyBorder="1" applyAlignment="1">
      <alignment horizontal="center" vertical="center"/>
    </xf>
    <xf numFmtId="0" fontId="33" fillId="10" borderId="25" xfId="0" applyFont="1" applyFill="1" applyBorder="1" applyAlignment="1">
      <alignment horizontal="center" vertical="center"/>
    </xf>
    <xf numFmtId="0" fontId="33" fillId="10" borderId="19" xfId="0" applyFont="1" applyFill="1" applyBorder="1" applyAlignment="1">
      <alignment horizontal="center" vertical="center"/>
    </xf>
    <xf numFmtId="0" fontId="0" fillId="10" borderId="17" xfId="0" applyFont="1" applyFill="1" applyBorder="1" applyAlignment="1">
      <alignment horizontal="left" vertical="center" wrapText="1" indent="1"/>
    </xf>
    <xf numFmtId="0" fontId="0" fillId="10" borderId="8" xfId="0" applyFont="1" applyFill="1" applyBorder="1" applyAlignment="1">
      <alignment horizontal="left" vertical="center" wrapText="1" indent="1"/>
    </xf>
    <xf numFmtId="0" fontId="0" fillId="10" borderId="2" xfId="0" applyFont="1" applyFill="1" applyBorder="1" applyAlignment="1">
      <alignment horizontal="left" vertical="center" wrapText="1" indent="1"/>
    </xf>
    <xf numFmtId="0" fontId="1" fillId="10" borderId="21" xfId="0" applyFont="1" applyFill="1" applyBorder="1" applyAlignment="1">
      <alignment horizontal="center" vertical="center"/>
    </xf>
    <xf numFmtId="0" fontId="1" fillId="10" borderId="15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5" fillId="8" borderId="54" xfId="0" applyFont="1" applyFill="1" applyBorder="1" applyAlignment="1">
      <alignment horizontal="center"/>
    </xf>
    <xf numFmtId="0" fontId="15" fillId="8" borderId="55" xfId="0" applyFont="1" applyFill="1" applyBorder="1" applyAlignment="1">
      <alignment horizontal="center"/>
    </xf>
    <xf numFmtId="0" fontId="15" fillId="8" borderId="56" xfId="0" applyFont="1" applyFill="1" applyBorder="1" applyAlignment="1">
      <alignment horizontal="center"/>
    </xf>
    <xf numFmtId="0" fontId="0" fillId="8" borderId="49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51" xfId="0" applyFill="1" applyBorder="1" applyAlignment="1">
      <alignment horizontal="center"/>
    </xf>
    <xf numFmtId="0" fontId="0" fillId="0" borderId="5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15" fillId="0" borderId="54" xfId="0" applyFont="1" applyBorder="1" applyAlignment="1">
      <alignment horizontal="center"/>
    </xf>
    <xf numFmtId="0" fontId="15" fillId="0" borderId="55" xfId="0" applyFont="1" applyBorder="1" applyAlignment="1">
      <alignment horizontal="center"/>
    </xf>
    <xf numFmtId="0" fontId="15" fillId="0" borderId="5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" fillId="11" borderId="21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12" borderId="0" xfId="0" applyFill="1" applyAlignment="1">
      <alignment horizontal="center"/>
    </xf>
    <xf numFmtId="0" fontId="0" fillId="12" borderId="5" xfId="0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27" fillId="13" borderId="44" xfId="0" applyFont="1" applyFill="1" applyBorder="1" applyAlignment="1">
      <alignment horizontal="center" vertical="center"/>
    </xf>
    <xf numFmtId="0" fontId="27" fillId="13" borderId="45" xfId="0" applyFont="1" applyFill="1" applyBorder="1" applyAlignment="1">
      <alignment horizontal="center" vertical="center"/>
    </xf>
    <xf numFmtId="0" fontId="27" fillId="13" borderId="46" xfId="0" applyFont="1" applyFill="1" applyBorder="1" applyAlignment="1">
      <alignment horizontal="center" vertical="center"/>
    </xf>
    <xf numFmtId="0" fontId="0" fillId="11" borderId="16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1" fillId="6" borderId="34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/>
    </xf>
    <xf numFmtId="0" fontId="15" fillId="6" borderId="21" xfId="0" applyFont="1" applyFill="1" applyBorder="1" applyAlignment="1">
      <alignment horizontal="center" vertical="center"/>
    </xf>
    <xf numFmtId="0" fontId="15" fillId="6" borderId="15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3" fillId="14" borderId="18" xfId="0" applyFont="1" applyFill="1" applyBorder="1" applyAlignment="1">
      <alignment horizontal="center" vertical="center"/>
    </xf>
    <xf numFmtId="0" fontId="33" fillId="14" borderId="25" xfId="0" applyFont="1" applyFill="1" applyBorder="1" applyAlignment="1">
      <alignment horizontal="center" vertical="center"/>
    </xf>
    <xf numFmtId="0" fontId="33" fillId="14" borderId="19" xfId="0" applyFont="1" applyFill="1" applyBorder="1" applyAlignment="1">
      <alignment horizontal="center" vertical="center"/>
    </xf>
    <xf numFmtId="0" fontId="0" fillId="14" borderId="17" xfId="0" applyFont="1" applyFill="1" applyBorder="1" applyAlignment="1">
      <alignment horizontal="left" vertical="center" wrapText="1" indent="1"/>
    </xf>
    <xf numFmtId="0" fontId="0" fillId="14" borderId="8" xfId="0" applyFont="1" applyFill="1" applyBorder="1" applyAlignment="1">
      <alignment horizontal="left" vertical="center" wrapText="1" indent="1"/>
    </xf>
    <xf numFmtId="0" fontId="0" fillId="14" borderId="2" xfId="0" applyFont="1" applyFill="1" applyBorder="1" applyAlignment="1">
      <alignment horizontal="left" vertical="center" wrapText="1" indent="1"/>
    </xf>
    <xf numFmtId="0" fontId="1" fillId="14" borderId="21" xfId="0" applyFont="1" applyFill="1" applyBorder="1" applyAlignment="1">
      <alignment horizontal="center" vertical="center"/>
    </xf>
    <xf numFmtId="0" fontId="1" fillId="14" borderId="15" xfId="0" applyFont="1" applyFill="1" applyBorder="1" applyAlignment="1">
      <alignment horizontal="center" vertical="center"/>
    </xf>
    <xf numFmtId="0" fontId="1" fillId="14" borderId="7" xfId="0" applyFont="1" applyFill="1" applyBorder="1" applyAlignment="1">
      <alignment horizontal="center" vertical="center"/>
    </xf>
    <xf numFmtId="0" fontId="1" fillId="15" borderId="7" xfId="0" applyFont="1" applyFill="1" applyBorder="1" applyAlignment="1">
      <alignment horizontal="left" vertical="center" indent="1"/>
    </xf>
    <xf numFmtId="2" fontId="1" fillId="9" borderId="6" xfId="0" applyNumberFormat="1" applyFont="1" applyFill="1" applyBorder="1" applyAlignment="1">
      <alignment horizontal="left" vertical="center"/>
    </xf>
    <xf numFmtId="2" fontId="1" fillId="9" borderId="7" xfId="0" applyNumberFormat="1" applyFont="1" applyFill="1" applyBorder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11" borderId="30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1" borderId="32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/>
    </xf>
    <xf numFmtId="11" fontId="0" fillId="9" borderId="0" xfId="0" applyNumberFormat="1" applyFont="1" applyFill="1" applyBorder="1" applyAlignment="1">
      <alignment horizontal="center" vertical="center"/>
    </xf>
    <xf numFmtId="168" fontId="0" fillId="9" borderId="0" xfId="0" applyNumberForma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8" borderId="16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0" fillId="18" borderId="0" xfId="0" applyFill="1" applyAlignment="1">
      <alignment horizontal="center"/>
    </xf>
    <xf numFmtId="0" fontId="1" fillId="21" borderId="0" xfId="0" applyFont="1" applyFill="1" applyAlignment="1">
      <alignment horizontal="center"/>
    </xf>
    <xf numFmtId="0" fontId="0" fillId="21" borderId="0" xfId="0" applyFill="1" applyAlignment="1">
      <alignment horizontal="center"/>
    </xf>
    <xf numFmtId="0" fontId="15" fillId="17" borderId="26" xfId="0" applyFont="1" applyFill="1" applyBorder="1" applyAlignment="1">
      <alignment horizontal="center"/>
    </xf>
    <xf numFmtId="0" fontId="15" fillId="17" borderId="27" xfId="0" applyFont="1" applyFill="1" applyBorder="1" applyAlignment="1">
      <alignment horizontal="center"/>
    </xf>
    <xf numFmtId="0" fontId="15" fillId="17" borderId="28" xfId="0" applyFont="1" applyFill="1" applyBorder="1" applyAlignment="1">
      <alignment horizontal="center"/>
    </xf>
    <xf numFmtId="0" fontId="15" fillId="8" borderId="21" xfId="0" applyFont="1" applyFill="1" applyBorder="1" applyAlignment="1">
      <alignment horizontal="center"/>
    </xf>
    <xf numFmtId="0" fontId="15" fillId="8" borderId="15" xfId="0" applyFont="1" applyFill="1" applyBorder="1" applyAlignment="1">
      <alignment horizontal="center"/>
    </xf>
    <xf numFmtId="0" fontId="15" fillId="8" borderId="20" xfId="0" applyFont="1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28" fillId="15" borderId="0" xfId="0" applyFont="1" applyFill="1" applyAlignment="1">
      <alignment horizontal="center" vertical="center"/>
    </xf>
    <xf numFmtId="0" fontId="1" fillId="13" borderId="18" xfId="0" applyFont="1" applyFill="1" applyBorder="1" applyAlignment="1">
      <alignment horizontal="center" vertical="center" wrapText="1"/>
    </xf>
    <xf numFmtId="0" fontId="1" fillId="13" borderId="25" xfId="0" applyFont="1" applyFill="1" applyBorder="1" applyAlignment="1">
      <alignment horizontal="center" vertical="center" wrapText="1"/>
    </xf>
    <xf numFmtId="0" fontId="1" fillId="13" borderId="19" xfId="0" applyFont="1" applyFill="1" applyBorder="1" applyAlignment="1">
      <alignment horizontal="center" vertical="center" wrapText="1"/>
    </xf>
    <xf numFmtId="0" fontId="1" fillId="16" borderId="0" xfId="0" applyFont="1" applyFill="1" applyAlignment="1">
      <alignment horizontal="center"/>
    </xf>
    <xf numFmtId="0" fontId="1" fillId="0" borderId="22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17" borderId="1" xfId="0" applyFill="1" applyBorder="1" applyAlignment="1">
      <alignment horizontal="center"/>
    </xf>
    <xf numFmtId="0" fontId="0" fillId="17" borderId="0" xfId="0" applyFill="1" applyBorder="1" applyAlignment="1">
      <alignment horizontal="center"/>
    </xf>
    <xf numFmtId="0" fontId="0" fillId="17" borderId="2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7" xfId="0" applyFont="1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1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200" i="1">
                <a:solidFill>
                  <a:sysClr val="windowText" lastClr="000000"/>
                </a:solidFill>
              </a:rPr>
              <a:t>l=500mm; dc=1mm; Ps=50bar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6346328485517089"/>
          <c:y val="0.10695895814484019"/>
          <c:w val="0.73916178409503708"/>
          <c:h val="0.75943099850565576"/>
        </c:manualLayout>
      </c:layout>
      <c:lineChart>
        <c:grouping val="standard"/>
        <c:varyColors val="0"/>
        <c:ser>
          <c:idx val="0"/>
          <c:order val="0"/>
          <c:tx>
            <c:v>hd=0,04 mm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tasche'!$AK$36:$AK$45</c:f>
              <c:numCache>
                <c:formatCode>0.0</c:formatCode>
                <c:ptCount val="10"/>
                <c:pt idx="0">
                  <c:v>2.446078946670053</c:v>
                </c:pt>
                <c:pt idx="1">
                  <c:v>4.892157893340106</c:v>
                </c:pt>
                <c:pt idx="2">
                  <c:v>7.3382368400101585</c:v>
                </c:pt>
                <c:pt idx="3">
                  <c:v>9.784315786680212</c:v>
                </c:pt>
                <c:pt idx="4">
                  <c:v>12.230394733350265</c:v>
                </c:pt>
                <c:pt idx="5">
                  <c:v>14.676473680020317</c:v>
                </c:pt>
                <c:pt idx="6">
                  <c:v>17.122552626690371</c:v>
                </c:pt>
                <c:pt idx="7">
                  <c:v>19.568631573360424</c:v>
                </c:pt>
                <c:pt idx="8">
                  <c:v>22.014710520030476</c:v>
                </c:pt>
                <c:pt idx="9">
                  <c:v>24.460789466700529</c:v>
                </c:pt>
              </c:numCache>
            </c:numRef>
          </c:cat>
          <c:val>
            <c:numRef>
              <c:f>'3 tasche'!$AS$36:$AS$45</c:f>
              <c:numCache>
                <c:formatCode>0</c:formatCode>
                <c:ptCount val="10"/>
                <c:pt idx="0">
                  <c:v>213.42</c:v>
                </c:pt>
                <c:pt idx="1">
                  <c:v>357.65</c:v>
                </c:pt>
                <c:pt idx="2">
                  <c:v>447.26</c:v>
                </c:pt>
                <c:pt idx="3">
                  <c:v>494.07</c:v>
                </c:pt>
                <c:pt idx="4">
                  <c:v>507.66</c:v>
                </c:pt>
                <c:pt idx="5">
                  <c:v>495.85</c:v>
                </c:pt>
                <c:pt idx="6">
                  <c:v>465.01</c:v>
                </c:pt>
                <c:pt idx="7">
                  <c:v>420.36</c:v>
                </c:pt>
                <c:pt idx="8">
                  <c:v>366.18</c:v>
                </c:pt>
                <c:pt idx="9">
                  <c:v>305.95999999999998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F1-48BE-84FF-E7E465914C55}"/>
            </c:ext>
          </c:extLst>
        </c:ser>
        <c:ser>
          <c:idx val="1"/>
          <c:order val="1"/>
          <c:tx>
            <c:v>hd=0,03 mm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tasche'!$AK$36:$AK$45</c:f>
              <c:numCache>
                <c:formatCode>0.0</c:formatCode>
                <c:ptCount val="10"/>
                <c:pt idx="0">
                  <c:v>2.446078946670053</c:v>
                </c:pt>
                <c:pt idx="1">
                  <c:v>4.892157893340106</c:v>
                </c:pt>
                <c:pt idx="2">
                  <c:v>7.3382368400101585</c:v>
                </c:pt>
                <c:pt idx="3">
                  <c:v>9.784315786680212</c:v>
                </c:pt>
                <c:pt idx="4">
                  <c:v>12.230394733350265</c:v>
                </c:pt>
                <c:pt idx="5">
                  <c:v>14.676473680020317</c:v>
                </c:pt>
                <c:pt idx="6">
                  <c:v>17.122552626690371</c:v>
                </c:pt>
                <c:pt idx="7">
                  <c:v>19.568631573360424</c:v>
                </c:pt>
                <c:pt idx="8">
                  <c:v>22.014710520030476</c:v>
                </c:pt>
                <c:pt idx="9">
                  <c:v>24.460789466700529</c:v>
                </c:pt>
              </c:numCache>
            </c:numRef>
          </c:cat>
          <c:val>
            <c:numRef>
              <c:f>'3 tasche'!$AV$36:$AV$45</c:f>
              <c:numCache>
                <c:formatCode>0</c:formatCode>
                <c:ptCount val="10"/>
                <c:pt idx="0">
                  <c:v>522.9</c:v>
                </c:pt>
                <c:pt idx="1">
                  <c:v>709.35</c:v>
                </c:pt>
                <c:pt idx="2">
                  <c:v>741.46</c:v>
                </c:pt>
                <c:pt idx="3">
                  <c:v>701.69</c:v>
                </c:pt>
                <c:pt idx="4">
                  <c:v>629.85</c:v>
                </c:pt>
                <c:pt idx="5">
                  <c:v>545.98</c:v>
                </c:pt>
                <c:pt idx="6">
                  <c:v>460.36</c:v>
                </c:pt>
                <c:pt idx="7">
                  <c:v>378.25</c:v>
                </c:pt>
                <c:pt idx="8">
                  <c:v>302.25</c:v>
                </c:pt>
                <c:pt idx="9">
                  <c:v>233.49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F1-48BE-84FF-E7E465914C55}"/>
            </c:ext>
          </c:extLst>
        </c:ser>
        <c:ser>
          <c:idx val="2"/>
          <c:order val="2"/>
          <c:tx>
            <c:v>hd=0,02 mm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tasche'!$AK$36:$AK$45</c:f>
              <c:numCache>
                <c:formatCode>0.0</c:formatCode>
                <c:ptCount val="10"/>
                <c:pt idx="0">
                  <c:v>2.446078946670053</c:v>
                </c:pt>
                <c:pt idx="1">
                  <c:v>4.892157893340106</c:v>
                </c:pt>
                <c:pt idx="2">
                  <c:v>7.3382368400101585</c:v>
                </c:pt>
                <c:pt idx="3">
                  <c:v>9.784315786680212</c:v>
                </c:pt>
                <c:pt idx="4">
                  <c:v>12.230394733350265</c:v>
                </c:pt>
                <c:pt idx="5">
                  <c:v>14.676473680020317</c:v>
                </c:pt>
                <c:pt idx="6">
                  <c:v>17.122552626690371</c:v>
                </c:pt>
                <c:pt idx="7">
                  <c:v>19.568631573360424</c:v>
                </c:pt>
                <c:pt idx="8">
                  <c:v>22.014710520030476</c:v>
                </c:pt>
                <c:pt idx="9">
                  <c:v>24.460789466700529</c:v>
                </c:pt>
              </c:numCache>
            </c:numRef>
          </c:cat>
          <c:val>
            <c:numRef>
              <c:f>'3 tasche'!$AY$36:$AY$45</c:f>
              <c:numCache>
                <c:formatCode>0</c:formatCode>
                <c:ptCount val="10"/>
                <c:pt idx="0">
                  <c:v>1191.25</c:v>
                </c:pt>
                <c:pt idx="1">
                  <c:v>1045.3499999999999</c:v>
                </c:pt>
                <c:pt idx="2">
                  <c:v>825.34</c:v>
                </c:pt>
                <c:pt idx="3">
                  <c:v>641.03</c:v>
                </c:pt>
                <c:pt idx="4">
                  <c:v>496.57</c:v>
                </c:pt>
                <c:pt idx="5">
                  <c:v>383.93</c:v>
                </c:pt>
                <c:pt idx="6">
                  <c:v>295.42</c:v>
                </c:pt>
                <c:pt idx="7">
                  <c:v>225.21</c:v>
                </c:pt>
                <c:pt idx="8">
                  <c:v>169.06</c:v>
                </c:pt>
                <c:pt idx="9">
                  <c:v>123.86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F1-48BE-84FF-E7E465914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5094304"/>
        <c:axId val="2126405232"/>
      </c:lineChart>
      <c:catAx>
        <c:axId val="97509430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 i="0">
                    <a:solidFill>
                      <a:sysClr val="windowText" lastClr="000000"/>
                    </a:solidFill>
                  </a:rPr>
                  <a:t>C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26405232"/>
        <c:crosses val="autoZero"/>
        <c:auto val="1"/>
        <c:lblAlgn val="ctr"/>
        <c:lblOffset val="100"/>
        <c:noMultiLvlLbl val="0"/>
      </c:catAx>
      <c:valAx>
        <c:axId val="212640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Pad Stiffness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 [N/</a:t>
                </a:r>
                <a:r>
                  <a:rPr lang="el-GR" sz="1200" b="1" baseline="0">
                    <a:solidFill>
                      <a:sysClr val="windowText" lastClr="000000"/>
                    </a:solidFill>
                  </a:rPr>
                  <a:t>μ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m]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3.0985371955469746E-2"/>
              <c:y val="0.36657123757333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509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693621433088029"/>
          <c:y val="0.16528366474021977"/>
          <c:w val="0.2925271428379233"/>
          <c:h val="0.271388034321511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beta=0,65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154274610530201"/>
          <c:y val="0.1275337956273522"/>
          <c:w val="0.84344384121188309"/>
          <c:h val="0.74453891222680968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tasche'!$AN$21</c:f>
              <c:strCache>
                <c:ptCount val="1"/>
                <c:pt idx="0">
                  <c:v>k_UP</c:v>
                </c:pt>
              </c:strCache>
            </c:strRef>
          </c:tx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tasche'!$AN$22:$AN$32</c:f>
              <c:numCache>
                <c:formatCode>0</c:formatCode>
                <c:ptCount val="11"/>
                <c:pt idx="0">
                  <c:v>1144</c:v>
                </c:pt>
                <c:pt idx="1">
                  <c:v>1405</c:v>
                </c:pt>
                <c:pt idx="2">
                  <c:v>1789.3</c:v>
                </c:pt>
                <c:pt idx="3">
                  <c:v>2467.11</c:v>
                </c:pt>
                <c:pt idx="4">
                  <c:v>4354.22</c:v>
                </c:pt>
                <c:pt idx="6">
                  <c:v>3066.19</c:v>
                </c:pt>
                <c:pt idx="7">
                  <c:v>1247.0999999999999</c:v>
                </c:pt>
                <c:pt idx="8">
                  <c:v>670.7</c:v>
                </c:pt>
                <c:pt idx="9">
                  <c:v>405.26</c:v>
                </c:pt>
                <c:pt idx="10">
                  <c:v>261.99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AB-43A0-98A9-5B2E0F97388E}"/>
            </c:ext>
          </c:extLst>
        </c:ser>
        <c:ser>
          <c:idx val="1"/>
          <c:order val="1"/>
          <c:tx>
            <c:strRef>
              <c:f>'3 tasche'!$AO$21</c:f>
              <c:strCache>
                <c:ptCount val="1"/>
                <c:pt idx="0">
                  <c:v>k1</c:v>
                </c:pt>
              </c:strCache>
            </c:strRef>
          </c:tx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tasche'!$AO$22:$AO$32</c:f>
              <c:numCache>
                <c:formatCode>0</c:formatCode>
                <c:ptCount val="11"/>
                <c:pt idx="0">
                  <c:v>43.46</c:v>
                </c:pt>
                <c:pt idx="1">
                  <c:v>167.83</c:v>
                </c:pt>
                <c:pt idx="2">
                  <c:v>344.3</c:v>
                </c:pt>
                <c:pt idx="3">
                  <c:v>517.17999999999995</c:v>
                </c:pt>
                <c:pt idx="4">
                  <c:v>629.28</c:v>
                </c:pt>
                <c:pt idx="5">
                  <c:v>655.95</c:v>
                </c:pt>
                <c:pt idx="6">
                  <c:v>611.61</c:v>
                </c:pt>
                <c:pt idx="7">
                  <c:v>528.6</c:v>
                </c:pt>
                <c:pt idx="8">
                  <c:v>435.43</c:v>
                </c:pt>
                <c:pt idx="9">
                  <c:v>348.87</c:v>
                </c:pt>
                <c:pt idx="10">
                  <c:v>275.67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AB-43A0-98A9-5B2E0F973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686271"/>
        <c:axId val="608852271"/>
      </c:lineChart>
      <c:catAx>
        <c:axId val="6226862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h1/h0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8852271"/>
        <c:crosses val="autoZero"/>
        <c:auto val="1"/>
        <c:lblAlgn val="ctr"/>
        <c:lblOffset val="100"/>
        <c:noMultiLvlLbl val="0"/>
      </c:catAx>
      <c:valAx>
        <c:axId val="60885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k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2268627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7523733609628447"/>
          <c:y val="0.19820061912026771"/>
          <c:w val="0.35669216039137708"/>
          <c:h val="0.2013386465381699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k_UP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352981925972034"/>
          <c:y val="3.960929529932735E-2"/>
          <c:w val="0.73896525521260792"/>
          <c:h val="0.79187920041220983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tasche'!$AJ$20</c:f>
              <c:strCache>
                <c:ptCount val="1"/>
                <c:pt idx="0">
                  <c:v>β=0,25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tasche'!$AJ$22:$AJ$32</c:f>
              <c:numCache>
                <c:formatCode>0</c:formatCode>
                <c:ptCount val="11"/>
                <c:pt idx="0">
                  <c:v>1131.08</c:v>
                </c:pt>
                <c:pt idx="1">
                  <c:v>1292</c:v>
                </c:pt>
                <c:pt idx="2">
                  <c:v>1395</c:v>
                </c:pt>
                <c:pt idx="3">
                  <c:v>1527</c:v>
                </c:pt>
                <c:pt idx="4">
                  <c:v>2113.88</c:v>
                </c:pt>
                <c:pt idx="6">
                  <c:v>1006</c:v>
                </c:pt>
                <c:pt idx="7">
                  <c:v>357.68</c:v>
                </c:pt>
                <c:pt idx="8">
                  <c:v>173.93</c:v>
                </c:pt>
                <c:pt idx="9">
                  <c:v>97.5</c:v>
                </c:pt>
                <c:pt idx="10">
                  <c:v>59.6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61-4EB0-92DC-5E15E7CE9020}"/>
            </c:ext>
          </c:extLst>
        </c:ser>
        <c:ser>
          <c:idx val="1"/>
          <c:order val="1"/>
          <c:tx>
            <c:strRef>
              <c:f>'3 tasche'!$AN$20</c:f>
              <c:strCache>
                <c:ptCount val="1"/>
                <c:pt idx="0">
                  <c:v>β=0,65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tasche'!$AN$22:$AN$32</c:f>
              <c:numCache>
                <c:formatCode>0</c:formatCode>
                <c:ptCount val="11"/>
                <c:pt idx="0">
                  <c:v>1144</c:v>
                </c:pt>
                <c:pt idx="1">
                  <c:v>1405</c:v>
                </c:pt>
                <c:pt idx="2">
                  <c:v>1789.3</c:v>
                </c:pt>
                <c:pt idx="3">
                  <c:v>2467.11</c:v>
                </c:pt>
                <c:pt idx="4">
                  <c:v>4354.22</c:v>
                </c:pt>
                <c:pt idx="6">
                  <c:v>3066.19</c:v>
                </c:pt>
                <c:pt idx="7">
                  <c:v>1247.0999999999999</c:v>
                </c:pt>
                <c:pt idx="8">
                  <c:v>670.7</c:v>
                </c:pt>
                <c:pt idx="9">
                  <c:v>405.26</c:v>
                </c:pt>
                <c:pt idx="10">
                  <c:v>261.99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61-4EB0-92DC-5E15E7CE9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4190623"/>
        <c:axId val="704393375"/>
      </c:lineChart>
      <c:catAx>
        <c:axId val="7141906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/>
                  <a:t>h1/h0</a:t>
                </a:r>
              </a:p>
            </c:rich>
          </c:tx>
          <c:layout>
            <c:manualLayout>
              <c:xMode val="edge"/>
              <c:yMode val="edge"/>
              <c:x val="0.30928989425753095"/>
              <c:y val="0.307811995378111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4393375"/>
        <c:crosses val="autoZero"/>
        <c:auto val="1"/>
        <c:lblAlgn val="ctr"/>
        <c:lblOffset val="100"/>
        <c:noMultiLvlLbl val="0"/>
      </c:catAx>
      <c:valAx>
        <c:axId val="704393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4190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509305456665568"/>
          <c:y val="0.16917377545775117"/>
          <c:w val="0.2011954312833705"/>
          <c:h val="0.136246646901703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k1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4495888504431154"/>
          <c:y val="4.877755092984256E-2"/>
          <c:w val="0.81289085854518139"/>
          <c:h val="0.63324705266854842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tasche'!$AJ$20:$AM$20</c:f>
              <c:strCache>
                <c:ptCount val="1"/>
                <c:pt idx="0">
                  <c:v>β=0,25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tasche'!$AL$22:$AL$32</c:f>
              <c:numCache>
                <c:formatCode>0</c:formatCode>
                <c:ptCount val="11"/>
                <c:pt idx="0">
                  <c:v>229.54</c:v>
                </c:pt>
                <c:pt idx="1">
                  <c:v>766.23</c:v>
                </c:pt>
                <c:pt idx="2">
                  <c:v>1130</c:v>
                </c:pt>
                <c:pt idx="3">
                  <c:v>1070</c:v>
                </c:pt>
                <c:pt idx="4">
                  <c:v>800.92</c:v>
                </c:pt>
                <c:pt idx="5">
                  <c:v>541.28</c:v>
                </c:pt>
                <c:pt idx="6">
                  <c:v>355.54</c:v>
                </c:pt>
                <c:pt idx="7">
                  <c:v>234.81</c:v>
                </c:pt>
                <c:pt idx="8">
                  <c:v>158.11000000000001</c:v>
                </c:pt>
                <c:pt idx="9">
                  <c:v>109.05</c:v>
                </c:pt>
                <c:pt idx="10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22-4F12-AED9-FF1DD82AF967}"/>
            </c:ext>
          </c:extLst>
        </c:ser>
        <c:ser>
          <c:idx val="1"/>
          <c:order val="1"/>
          <c:tx>
            <c:strRef>
              <c:f>'3 tasche'!$AN$20:$AP$20</c:f>
              <c:strCache>
                <c:ptCount val="1"/>
                <c:pt idx="0">
                  <c:v>β=0,65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tasche'!$AO$22:$AO$32</c:f>
              <c:numCache>
                <c:formatCode>0</c:formatCode>
                <c:ptCount val="11"/>
                <c:pt idx="0">
                  <c:v>43.46</c:v>
                </c:pt>
                <c:pt idx="1">
                  <c:v>167.83</c:v>
                </c:pt>
                <c:pt idx="2">
                  <c:v>344.3</c:v>
                </c:pt>
                <c:pt idx="3">
                  <c:v>517.17999999999995</c:v>
                </c:pt>
                <c:pt idx="4">
                  <c:v>629.28</c:v>
                </c:pt>
                <c:pt idx="5">
                  <c:v>655.95</c:v>
                </c:pt>
                <c:pt idx="6">
                  <c:v>611.61</c:v>
                </c:pt>
                <c:pt idx="7">
                  <c:v>528.6</c:v>
                </c:pt>
                <c:pt idx="8">
                  <c:v>435.43</c:v>
                </c:pt>
                <c:pt idx="9">
                  <c:v>348.87</c:v>
                </c:pt>
                <c:pt idx="10">
                  <c:v>275.67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22-4F12-AED9-FF1DD82AF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684671"/>
        <c:axId val="706964655"/>
      </c:lineChart>
      <c:catAx>
        <c:axId val="6226846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/>
                  <a:t>h1/h0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6964655"/>
        <c:crosses val="autoZero"/>
        <c:auto val="1"/>
        <c:lblAlgn val="ctr"/>
        <c:lblOffset val="100"/>
        <c:noMultiLvlLbl val="0"/>
      </c:catAx>
      <c:valAx>
        <c:axId val="706964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22684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0703488157392373"/>
          <c:y val="0.17187463610416026"/>
          <c:w val="0.34614269564087885"/>
          <c:h val="0.24009289408427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l</a:t>
            </a:r>
            <a:r>
              <a:rPr lang="en-US" sz="1200" b="0" i="1" baseline="-25000">
                <a:solidFill>
                  <a:sysClr val="windowText" lastClr="000000"/>
                </a:solidFill>
                <a:effectLst/>
              </a:rPr>
              <a:t>c</a:t>
            </a: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=500 mm; d</a:t>
            </a:r>
            <a:r>
              <a:rPr lang="en-US" sz="1200" b="0" i="1" baseline="-25000">
                <a:solidFill>
                  <a:sysClr val="windowText" lastClr="000000"/>
                </a:solidFill>
                <a:effectLst/>
              </a:rPr>
              <a:t>c</a:t>
            </a: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= 1mm; </a:t>
            </a:r>
            <a:r>
              <a:rPr lang="el-GR" sz="1200" b="0" i="0" baseline="0">
                <a:solidFill>
                  <a:sysClr val="windowText" lastClr="000000"/>
                </a:solidFill>
                <a:effectLst/>
              </a:rPr>
              <a:t>β</a:t>
            </a:r>
            <a:r>
              <a:rPr lang="it-IT" sz="1200" b="0" i="1" baseline="0">
                <a:solidFill>
                  <a:sysClr val="windowText" lastClr="000000"/>
                </a:solidFill>
                <a:effectLst/>
              </a:rPr>
              <a:t>=0,57</a:t>
            </a: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; C=17,46 mm</a:t>
            </a:r>
            <a:endParaRPr lang="pt-BR" sz="105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Pad Stiffness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tasche'!$AE$9:$AE$21</c:f>
              <c:numCache>
                <c:formatCode>General</c:formatCode>
                <c:ptCount val="13"/>
                <c:pt idx="0">
                  <c:v>161.15</c:v>
                </c:pt>
                <c:pt idx="1">
                  <c:v>330.59</c:v>
                </c:pt>
                <c:pt idx="2">
                  <c:v>496.57</c:v>
                </c:pt>
                <c:pt idx="3">
                  <c:v>604.22</c:v>
                </c:pt>
                <c:pt idx="4">
                  <c:v>629.85</c:v>
                </c:pt>
                <c:pt idx="5">
                  <c:v>587.32000000000005</c:v>
                </c:pt>
                <c:pt idx="6">
                  <c:v>507.66</c:v>
                </c:pt>
                <c:pt idx="7">
                  <c:v>418.24</c:v>
                </c:pt>
                <c:pt idx="8">
                  <c:v>335.14</c:v>
                </c:pt>
                <c:pt idx="9">
                  <c:v>264.86</c:v>
                </c:pt>
                <c:pt idx="10">
                  <c:v>208.33</c:v>
                </c:pt>
                <c:pt idx="11">
                  <c:v>164.02</c:v>
                </c:pt>
                <c:pt idx="12">
                  <c:v>129.71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59F-47D0-A214-3F30B927E800}"/>
            </c:ext>
          </c:extLst>
        </c:ser>
        <c:ser>
          <c:idx val="1"/>
          <c:order val="1"/>
          <c:tx>
            <c:v>Bearing Stiffness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tasche'!$AD$9:$AD$21</c:f>
              <c:numCache>
                <c:formatCode>General</c:formatCode>
                <c:ptCount val="13"/>
                <c:pt idx="0">
                  <c:v>322.3</c:v>
                </c:pt>
                <c:pt idx="1">
                  <c:v>661.17</c:v>
                </c:pt>
                <c:pt idx="2">
                  <c:v>993.15</c:v>
                </c:pt>
                <c:pt idx="3">
                  <c:v>1208.43</c:v>
                </c:pt>
                <c:pt idx="4">
                  <c:v>1259.7</c:v>
                </c:pt>
                <c:pt idx="5">
                  <c:v>1174.6400000000001</c:v>
                </c:pt>
                <c:pt idx="6">
                  <c:v>1015.32</c:v>
                </c:pt>
                <c:pt idx="7">
                  <c:v>836.47</c:v>
                </c:pt>
                <c:pt idx="8">
                  <c:v>670.28</c:v>
                </c:pt>
                <c:pt idx="9">
                  <c:v>529.73</c:v>
                </c:pt>
                <c:pt idx="10">
                  <c:v>416.66</c:v>
                </c:pt>
                <c:pt idx="11">
                  <c:v>328.04</c:v>
                </c:pt>
                <c:pt idx="12">
                  <c:v>259.42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98-40D7-A086-38B7C7AE7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7618383"/>
        <c:axId val="822789599"/>
      </c:lineChart>
      <c:catAx>
        <c:axId val="1297618383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Design film thickness h</a:t>
                </a:r>
                <a:r>
                  <a:rPr lang="pt-BR" sz="1050" b="1">
                    <a:solidFill>
                      <a:sysClr val="windowText" lastClr="000000"/>
                    </a:solidFill>
                  </a:rPr>
                  <a:t>d</a:t>
                </a:r>
                <a:r>
                  <a:rPr lang="pt-BR" sz="1200" b="1">
                    <a:solidFill>
                      <a:sysClr val="windowText" lastClr="000000"/>
                    </a:solidFill>
                  </a:rPr>
                  <a:t>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22789599"/>
        <c:crosses val="autoZero"/>
        <c:auto val="1"/>
        <c:lblAlgn val="ctr"/>
        <c:lblOffset val="100"/>
        <c:noMultiLvlLbl val="0"/>
      </c:catAx>
      <c:valAx>
        <c:axId val="82278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Film stiffness [N/</a:t>
                </a:r>
                <a:r>
                  <a:rPr lang="el-GR" sz="1200" b="1">
                    <a:solidFill>
                      <a:sysClr val="windowText" lastClr="000000"/>
                    </a:solidFill>
                  </a:rPr>
                  <a:t>μ</a:t>
                </a:r>
                <a:r>
                  <a:rPr lang="pt-BR" sz="1200" b="1">
                    <a:solidFill>
                      <a:sysClr val="windowText" lastClr="000000"/>
                    </a:solidFill>
                  </a:rPr>
                  <a:t>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97618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0154455417949735"/>
          <c:y val="9.7942401572426147E-2"/>
          <c:w val="0.22132171610474061"/>
          <c:h val="0.17494830138273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1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200" i="1">
                <a:solidFill>
                  <a:sysClr val="windowText" lastClr="000000"/>
                </a:solidFill>
              </a:rPr>
              <a:t>Journal bearing stiffness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3095636730190653E-2"/>
          <c:y val="8.2741640177095899E-2"/>
          <c:w val="0.86825703969957846"/>
          <c:h val="0.81471665406759575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tasche'!$W$6:$X$6</c:f>
              <c:strCache>
                <c:ptCount val="1"/>
                <c:pt idx="0">
                  <c:v>Equation (21)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tasche'!$AA$8:$AA$19</c:f>
              <c:numCache>
                <c:formatCode>0.00</c:formatCode>
                <c:ptCount val="12"/>
                <c:pt idx="0">
                  <c:v>3.3333333333333333E-2</c:v>
                </c:pt>
                <c:pt idx="1">
                  <c:v>0.16666666666666669</c:v>
                </c:pt>
                <c:pt idx="2">
                  <c:v>0.33333333333333337</c:v>
                </c:pt>
                <c:pt idx="3">
                  <c:v>0.5</c:v>
                </c:pt>
                <c:pt idx="4">
                  <c:v>0.66666666666666674</c:v>
                </c:pt>
                <c:pt idx="5">
                  <c:v>0.83333333333333337</c:v>
                </c:pt>
                <c:pt idx="6">
                  <c:v>1.1666666666666667</c:v>
                </c:pt>
                <c:pt idx="7">
                  <c:v>1.3333333333333335</c:v>
                </c:pt>
                <c:pt idx="8">
                  <c:v>1.5</c:v>
                </c:pt>
                <c:pt idx="9">
                  <c:v>1.6666666666666667</c:v>
                </c:pt>
                <c:pt idx="10">
                  <c:v>1.8333333333333335</c:v>
                </c:pt>
                <c:pt idx="11">
                  <c:v>1.9666666666666666</c:v>
                </c:pt>
              </c:numCache>
            </c:numRef>
          </c:cat>
          <c:val>
            <c:numRef>
              <c:f>'3 tasche'!$X$8:$X$19</c:f>
              <c:numCache>
                <c:formatCode>0</c:formatCode>
                <c:ptCount val="12"/>
                <c:pt idx="0">
                  <c:v>609</c:v>
                </c:pt>
                <c:pt idx="1">
                  <c:v>668</c:v>
                </c:pt>
                <c:pt idx="2">
                  <c:v>750.8</c:v>
                </c:pt>
                <c:pt idx="3">
                  <c:v>831.6</c:v>
                </c:pt>
                <c:pt idx="4">
                  <c:v>897</c:v>
                </c:pt>
                <c:pt idx="5">
                  <c:v>935</c:v>
                </c:pt>
                <c:pt idx="6">
                  <c:v>928</c:v>
                </c:pt>
                <c:pt idx="7">
                  <c:v>893</c:v>
                </c:pt>
                <c:pt idx="8">
                  <c:v>846.9</c:v>
                </c:pt>
                <c:pt idx="9">
                  <c:v>795.34</c:v>
                </c:pt>
                <c:pt idx="10">
                  <c:v>741.8</c:v>
                </c:pt>
                <c:pt idx="11">
                  <c:v>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38-43A1-B087-623BF4A0709B}"/>
            </c:ext>
          </c:extLst>
        </c:ser>
        <c:ser>
          <c:idx val="1"/>
          <c:order val="1"/>
          <c:tx>
            <c:strRef>
              <c:f>'3 tasche'!$Y$6:$Z$6</c:f>
              <c:strCache>
                <c:ptCount val="1"/>
                <c:pt idx="0">
                  <c:v>Equation (17)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tasche'!$AA$8:$AA$19</c:f>
              <c:numCache>
                <c:formatCode>0.00</c:formatCode>
                <c:ptCount val="12"/>
                <c:pt idx="0">
                  <c:v>3.3333333333333333E-2</c:v>
                </c:pt>
                <c:pt idx="1">
                  <c:v>0.16666666666666669</c:v>
                </c:pt>
                <c:pt idx="2">
                  <c:v>0.33333333333333337</c:v>
                </c:pt>
                <c:pt idx="3">
                  <c:v>0.5</c:v>
                </c:pt>
                <c:pt idx="4">
                  <c:v>0.66666666666666674</c:v>
                </c:pt>
                <c:pt idx="5">
                  <c:v>0.83333333333333337</c:v>
                </c:pt>
                <c:pt idx="6">
                  <c:v>1.1666666666666667</c:v>
                </c:pt>
                <c:pt idx="7">
                  <c:v>1.3333333333333335</c:v>
                </c:pt>
                <c:pt idx="8">
                  <c:v>1.5</c:v>
                </c:pt>
                <c:pt idx="9">
                  <c:v>1.6666666666666667</c:v>
                </c:pt>
                <c:pt idx="10">
                  <c:v>1.8333333333333335</c:v>
                </c:pt>
                <c:pt idx="11">
                  <c:v>1.9666666666666666</c:v>
                </c:pt>
              </c:numCache>
            </c:numRef>
          </c:cat>
          <c:val>
            <c:numRef>
              <c:f>'3 tasche'!$Z$8:$Z$19</c:f>
              <c:numCache>
                <c:formatCode>0</c:formatCode>
                <c:ptCount val="12"/>
                <c:pt idx="0">
                  <c:v>428.6</c:v>
                </c:pt>
                <c:pt idx="1">
                  <c:v>504.5</c:v>
                </c:pt>
                <c:pt idx="2">
                  <c:v>668.72</c:v>
                </c:pt>
                <c:pt idx="3">
                  <c:v>880.7</c:v>
                </c:pt>
                <c:pt idx="4">
                  <c:v>1083</c:v>
                </c:pt>
                <c:pt idx="5">
                  <c:v>1219</c:v>
                </c:pt>
                <c:pt idx="6">
                  <c:v>1214</c:v>
                </c:pt>
                <c:pt idx="7">
                  <c:v>1111.8</c:v>
                </c:pt>
                <c:pt idx="8">
                  <c:v>978.3</c:v>
                </c:pt>
                <c:pt idx="9">
                  <c:v>831.6</c:v>
                </c:pt>
                <c:pt idx="10">
                  <c:v>682.6</c:v>
                </c:pt>
                <c:pt idx="11">
                  <c:v>566.79999999999995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38-43A1-B087-623BF4A07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0501216"/>
        <c:axId val="1622319808"/>
      </c:lineChart>
      <c:catAx>
        <c:axId val="169050121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Film Thickness Ratio h</a:t>
                </a:r>
                <a:r>
                  <a:rPr lang="pt-BR" sz="1050" b="1">
                    <a:solidFill>
                      <a:sysClr val="windowText" lastClr="000000"/>
                    </a:solidFill>
                  </a:rPr>
                  <a:t>1</a:t>
                </a:r>
                <a:r>
                  <a:rPr lang="pt-BR" sz="1200" b="1">
                    <a:solidFill>
                      <a:sysClr val="windowText" lastClr="000000"/>
                    </a:solidFill>
                  </a:rPr>
                  <a:t>/</a:t>
                </a:r>
                <a:r>
                  <a:rPr lang="pt-BR" sz="1200" b="1" i="0" u="none" strike="noStrike" baseline="0">
                    <a:effectLst/>
                  </a:rPr>
                  <a:t>h</a:t>
                </a:r>
                <a:r>
                  <a:rPr lang="pt-BR" sz="1050" b="1" i="0" u="none" strike="noStrike" baseline="0">
                    <a:effectLst/>
                  </a:rPr>
                  <a:t>d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22319808"/>
        <c:crosses val="autoZero"/>
        <c:auto val="1"/>
        <c:lblAlgn val="ctr"/>
        <c:lblOffset val="100"/>
        <c:noMultiLvlLbl val="0"/>
      </c:catAx>
      <c:valAx>
        <c:axId val="162231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Stiffness [N/</a:t>
                </a:r>
                <a:r>
                  <a:rPr lang="el-GR" sz="1200" b="1" i="0" baseline="0">
                    <a:effectLst/>
                  </a:rPr>
                  <a:t>μ</a:t>
                </a:r>
                <a:r>
                  <a:rPr lang="en-US" sz="1200" b="1" i="0" baseline="0">
                    <a:effectLst/>
                  </a:rPr>
                  <a:t>m]</a:t>
                </a:r>
                <a:endParaRPr lang="pt-B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9050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837457702910238"/>
          <c:y val="0.18682628774106286"/>
          <c:w val="0.17736758120874455"/>
          <c:h val="9.45866324275575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1">
                <a:solidFill>
                  <a:sysClr val="windowText" lastClr="000000"/>
                </a:solidFill>
              </a:rPr>
              <a:t>Step</a:t>
            </a:r>
            <a:r>
              <a:rPr lang="en-US" sz="1200" b="0" i="1" baseline="0">
                <a:solidFill>
                  <a:sysClr val="windowText" lastClr="000000"/>
                </a:solidFill>
              </a:rPr>
              <a:t> response</a:t>
            </a:r>
            <a:endParaRPr lang="en-US" sz="1200" b="0" i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45286966191178402"/>
          <c:y val="1.49571870850141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6663836354498399"/>
          <c:y val="0.11338262555265309"/>
          <c:w val="0.81260889475823328"/>
          <c:h val="0.79058022391135885"/>
        </c:manualLayout>
      </c:layout>
      <c:lineChart>
        <c:grouping val="standard"/>
        <c:varyColors val="0"/>
        <c:ser>
          <c:idx val="0"/>
          <c:order val="0"/>
          <c:tx>
            <c:v>Smaller pad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tasche'!$T$57:$T$77</c:f>
              <c:numCache>
                <c:formatCode>0.00</c:formatCode>
                <c:ptCount val="21"/>
                <c:pt idx="0" formatCode="General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 formatCode="General">
                  <c:v>0.1</c:v>
                </c:pt>
                <c:pt idx="11" formatCode="General">
                  <c:v>0.11</c:v>
                </c:pt>
                <c:pt idx="12" formatCode="General">
                  <c:v>0.12</c:v>
                </c:pt>
                <c:pt idx="13" formatCode="General">
                  <c:v>0.13</c:v>
                </c:pt>
                <c:pt idx="14" formatCode="General">
                  <c:v>0.14000000000000001</c:v>
                </c:pt>
                <c:pt idx="15" formatCode="General">
                  <c:v>0.15</c:v>
                </c:pt>
                <c:pt idx="16" formatCode="General">
                  <c:v>0.16</c:v>
                </c:pt>
                <c:pt idx="17" formatCode="General">
                  <c:v>0.17</c:v>
                </c:pt>
                <c:pt idx="18" formatCode="General">
                  <c:v>0.18</c:v>
                </c:pt>
                <c:pt idx="19" formatCode="General">
                  <c:v>0.19</c:v>
                </c:pt>
                <c:pt idx="20" formatCode="General">
                  <c:v>0.2</c:v>
                </c:pt>
              </c:numCache>
            </c:numRef>
          </c:cat>
          <c:val>
            <c:numRef>
              <c:f>'3 tasche'!$F$57:$F$77</c:f>
              <c:numCache>
                <c:formatCode>0.00</c:formatCode>
                <c:ptCount val="21"/>
                <c:pt idx="0">
                  <c:v>-5.0653925498522766E-18</c:v>
                </c:pt>
                <c:pt idx="1">
                  <c:v>1.2373366045802792E-2</c:v>
                </c:pt>
                <c:pt idx="2">
                  <c:v>1.7150363312898244E-2</c:v>
                </c:pt>
                <c:pt idx="3">
                  <c:v>1.8935253835801663E-2</c:v>
                </c:pt>
                <c:pt idx="4">
                  <c:v>1.9602165286786755E-2</c:v>
                </c:pt>
                <c:pt idx="5">
                  <c:v>1.9851351933109211E-2</c:v>
                </c:pt>
                <c:pt idx="6">
                  <c:v>1.9944458723544004E-2</c:v>
                </c:pt>
                <c:pt idx="7">
                  <c:v>1.9979247403246574E-2</c:v>
                </c:pt>
                <c:pt idx="8">
                  <c:v>1.9992245942126455E-2</c:v>
                </c:pt>
                <c:pt idx="9">
                  <c:v>1.9997102752285861E-2</c:v>
                </c:pt>
                <c:pt idx="10">
                  <c:v>1.9998917464319463E-2</c:v>
                </c:pt>
                <c:pt idx="11">
                  <c:v>1.9999595518362504E-2</c:v>
                </c:pt>
                <c:pt idx="12">
                  <c:v>1.9999848868357865E-2</c:v>
                </c:pt>
                <c:pt idx="13">
                  <c:v>1.9999943530753597E-2</c:v>
                </c:pt>
                <c:pt idx="14">
                  <c:v>1.9999978900673978E-2</c:v>
                </c:pt>
                <c:pt idx="15">
                  <c:v>1.999999211638924E-2</c:v>
                </c:pt>
                <c:pt idx="16">
                  <c:v>1.9999997054345787E-2</c:v>
                </c:pt>
                <c:pt idx="17">
                  <c:v>1.9999998899377581E-2</c:v>
                </c:pt>
                <c:pt idx="18">
                  <c:v>1.9999999588760382E-2</c:v>
                </c:pt>
                <c:pt idx="19">
                  <c:v>1.9999999846343288E-2</c:v>
                </c:pt>
                <c:pt idx="20">
                  <c:v>1.999999994258728E-2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61-4B9F-8B2C-76E5E08BA7D8}"/>
            </c:ext>
          </c:extLst>
        </c:ser>
        <c:ser>
          <c:idx val="1"/>
          <c:order val="1"/>
          <c:tx>
            <c:v>Bigger pad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tasche'!$T$57:$T$77</c:f>
              <c:numCache>
                <c:formatCode>0.00</c:formatCode>
                <c:ptCount val="21"/>
                <c:pt idx="0" formatCode="General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 formatCode="General">
                  <c:v>0.1</c:v>
                </c:pt>
                <c:pt idx="11" formatCode="General">
                  <c:v>0.11</c:v>
                </c:pt>
                <c:pt idx="12" formatCode="General">
                  <c:v>0.12</c:v>
                </c:pt>
                <c:pt idx="13" formatCode="General">
                  <c:v>0.13</c:v>
                </c:pt>
                <c:pt idx="14" formatCode="General">
                  <c:v>0.14000000000000001</c:v>
                </c:pt>
                <c:pt idx="15" formatCode="General">
                  <c:v>0.15</c:v>
                </c:pt>
                <c:pt idx="16" formatCode="General">
                  <c:v>0.16</c:v>
                </c:pt>
                <c:pt idx="17" formatCode="General">
                  <c:v>0.17</c:v>
                </c:pt>
                <c:pt idx="18" formatCode="General">
                  <c:v>0.18</c:v>
                </c:pt>
                <c:pt idx="19" formatCode="General">
                  <c:v>0.19</c:v>
                </c:pt>
                <c:pt idx="20" formatCode="General">
                  <c:v>0.2</c:v>
                </c:pt>
              </c:numCache>
            </c:numRef>
          </c:cat>
          <c:val>
            <c:numRef>
              <c:f>'3 tasche'!$Q$57:$Q$77</c:f>
              <c:numCache>
                <c:formatCode>0.000</c:formatCode>
                <c:ptCount val="21"/>
                <c:pt idx="0">
                  <c:v>-2.9143354396410358E-18</c:v>
                </c:pt>
                <c:pt idx="1">
                  <c:v>1.3061355592962714E-2</c:v>
                </c:pt>
                <c:pt idx="2">
                  <c:v>1.7650136188884506E-2</c:v>
                </c:pt>
                <c:pt idx="3">
                  <c:v>1.9204187503082032E-2</c:v>
                </c:pt>
                <c:pt idx="4">
                  <c:v>1.9730487559638545E-2</c:v>
                </c:pt>
                <c:pt idx="5">
                  <c:v>1.9908726043143456E-2</c:v>
                </c:pt>
                <c:pt idx="6">
                  <c:v>1.9969088865845759E-2</c:v>
                </c:pt>
                <c:pt idx="7">
                  <c:v>1.9989531535088336E-2</c:v>
                </c:pt>
                <c:pt idx="8">
                  <c:v>1.9996454715732529E-2</c:v>
                </c:pt>
                <c:pt idx="9">
                  <c:v>1.9998799342535584E-2</c:v>
                </c:pt>
                <c:pt idx="10">
                  <c:v>1.9999593381450371E-2</c:v>
                </c:pt>
                <c:pt idx="11">
                  <c:v>1.9999862293243659E-2</c:v>
                </c:pt>
                <c:pt idx="12">
                  <c:v>1.9999953363783431E-2</c:v>
                </c:pt>
                <c:pt idx="13">
                  <c:v>1.9999984206027693E-2</c:v>
                </c:pt>
                <c:pt idx="14">
                  <c:v>1.9999994651162131E-2</c:v>
                </c:pt>
                <c:pt idx="15">
                  <c:v>1.9999998188545226E-2</c:v>
                </c:pt>
                <c:pt idx="16">
                  <c:v>1.9999999386526853E-2</c:v>
                </c:pt>
                <c:pt idx="17">
                  <c:v>1.9999999792239195E-2</c:v>
                </c:pt>
                <c:pt idx="18">
                  <c:v>1.9999999929639051E-2</c:v>
                </c:pt>
                <c:pt idx="19">
                  <c:v>1.9999999976171336E-2</c:v>
                </c:pt>
                <c:pt idx="20">
                  <c:v>1.9999999991930108E-2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D3-41BD-BB9B-E13AF4CAC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1575360"/>
        <c:axId val="1637895232"/>
      </c:lineChart>
      <c:catAx>
        <c:axId val="2141575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time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 (s)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1259775094065663"/>
              <c:y val="0.918920109388212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37895232"/>
        <c:crosses val="autoZero"/>
        <c:auto val="1"/>
        <c:lblAlgn val="ctr"/>
        <c:lblOffset val="100"/>
        <c:noMultiLvlLbl val="0"/>
      </c:catAx>
      <c:valAx>
        <c:axId val="163789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Spindle displacement (mm)</a:t>
                </a:r>
              </a:p>
            </c:rich>
          </c:tx>
          <c:layout>
            <c:manualLayout>
              <c:xMode val="edge"/>
              <c:yMode val="edge"/>
              <c:x val="1.3493119765818426E-2"/>
              <c:y val="0.26521388881691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157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039711645633338"/>
          <c:y val="0.35910808814361123"/>
          <c:w val="0.56960298792520214"/>
          <c:h val="9.69084765324867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303435423572"/>
          <c:y val="7.2951139754740643E-2"/>
          <c:w val="0.75118957591714952"/>
          <c:h val="0.76182736591888278"/>
        </c:manualLayout>
      </c:layout>
      <c:lineChart>
        <c:grouping val="standard"/>
        <c:varyColors val="0"/>
        <c:ser>
          <c:idx val="0"/>
          <c:order val="0"/>
          <c:tx>
            <c:v>Pad Stiffness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tasche'!$AD$28:$AD$45</c:f>
              <c:numCache>
                <c:formatCode>General</c:formatCode>
                <c:ptCount val="18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450</c:v>
                </c:pt>
                <c:pt idx="8">
                  <c:v>500</c:v>
                </c:pt>
                <c:pt idx="9">
                  <c:v>600</c:v>
                </c:pt>
                <c:pt idx="10">
                  <c:v>650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1500</c:v>
                </c:pt>
                <c:pt idx="17">
                  <c:v>2000</c:v>
                </c:pt>
              </c:numCache>
            </c:numRef>
          </c:cat>
          <c:val>
            <c:numRef>
              <c:f>'3 tasche'!$AE$28:$AE$45</c:f>
              <c:numCache>
                <c:formatCode>General</c:formatCode>
                <c:ptCount val="18"/>
                <c:pt idx="0">
                  <c:v>326.04000000000002</c:v>
                </c:pt>
                <c:pt idx="1">
                  <c:v>430.76</c:v>
                </c:pt>
                <c:pt idx="2">
                  <c:v>509.72</c:v>
                </c:pt>
                <c:pt idx="3">
                  <c:v>569.28</c:v>
                </c:pt>
                <c:pt idx="4">
                  <c:v>614.04</c:v>
                </c:pt>
                <c:pt idx="5">
                  <c:v>647.41</c:v>
                </c:pt>
                <c:pt idx="6">
                  <c:v>671.93</c:v>
                </c:pt>
                <c:pt idx="7">
                  <c:v>689.53</c:v>
                </c:pt>
                <c:pt idx="8">
                  <c:v>701.69</c:v>
                </c:pt>
                <c:pt idx="9">
                  <c:v>713.97</c:v>
                </c:pt>
                <c:pt idx="10">
                  <c:v>715.68</c:v>
                </c:pt>
                <c:pt idx="11">
                  <c:v>715.22</c:v>
                </c:pt>
                <c:pt idx="12">
                  <c:v>709.48</c:v>
                </c:pt>
                <c:pt idx="13">
                  <c:v>699.3</c:v>
                </c:pt>
                <c:pt idx="14">
                  <c:v>686.36</c:v>
                </c:pt>
                <c:pt idx="15">
                  <c:v>656.29</c:v>
                </c:pt>
                <c:pt idx="16">
                  <c:v>608.58000000000004</c:v>
                </c:pt>
                <c:pt idx="17">
                  <c:v>535.34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4-4D3B-8FAE-3242ED6BC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4300672"/>
        <c:axId val="301566256"/>
      </c:lineChart>
      <c:lineChart>
        <c:grouping val="standard"/>
        <c:varyColors val="0"/>
        <c:ser>
          <c:idx val="1"/>
          <c:order val="1"/>
          <c:tx>
            <c:v>Recess pressure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tasche'!$AD$28:$AD$45</c:f>
              <c:numCache>
                <c:formatCode>General</c:formatCode>
                <c:ptCount val="18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450</c:v>
                </c:pt>
                <c:pt idx="8">
                  <c:v>500</c:v>
                </c:pt>
                <c:pt idx="9">
                  <c:v>600</c:v>
                </c:pt>
                <c:pt idx="10">
                  <c:v>650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1500</c:v>
                </c:pt>
                <c:pt idx="17">
                  <c:v>2000</c:v>
                </c:pt>
              </c:numCache>
            </c:numRef>
          </c:cat>
          <c:val>
            <c:numRef>
              <c:f>'3 tasche'!$AG$28:$AG$45</c:f>
              <c:numCache>
                <c:formatCode>0.00</c:formatCode>
                <c:ptCount val="18"/>
                <c:pt idx="0">
                  <c:v>0.86900000000000011</c:v>
                </c:pt>
                <c:pt idx="1">
                  <c:v>0.81559999999999999</c:v>
                </c:pt>
                <c:pt idx="2">
                  <c:v>0.76819999999999988</c:v>
                </c:pt>
                <c:pt idx="3">
                  <c:v>0.72620000000000007</c:v>
                </c:pt>
                <c:pt idx="4">
                  <c:v>0.68840000000000001</c:v>
                </c:pt>
                <c:pt idx="5">
                  <c:v>0.65459999999999996</c:v>
                </c:pt>
                <c:pt idx="6">
                  <c:v>0.62380000000000002</c:v>
                </c:pt>
                <c:pt idx="7">
                  <c:v>0.59560000000000002</c:v>
                </c:pt>
                <c:pt idx="8">
                  <c:v>0.56999999999999995</c:v>
                </c:pt>
                <c:pt idx="9">
                  <c:v>0.52500000000000002</c:v>
                </c:pt>
                <c:pt idx="10">
                  <c:v>0.505</c:v>
                </c:pt>
                <c:pt idx="11">
                  <c:v>0.4864</c:v>
                </c:pt>
                <c:pt idx="12">
                  <c:v>0.45319999999999999</c:v>
                </c:pt>
                <c:pt idx="13">
                  <c:v>0.42420000000000002</c:v>
                </c:pt>
                <c:pt idx="14">
                  <c:v>0.39860000000000001</c:v>
                </c:pt>
                <c:pt idx="15">
                  <c:v>0.35580000000000001</c:v>
                </c:pt>
                <c:pt idx="16">
                  <c:v>0.30659999999999998</c:v>
                </c:pt>
                <c:pt idx="17">
                  <c:v>0.249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E4-4D3B-8FAE-3242ED6BC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898799"/>
        <c:axId val="440377471"/>
      </c:lineChart>
      <c:catAx>
        <c:axId val="854300672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Capillary restrictor Length [mm]</a:t>
                </a:r>
              </a:p>
            </c:rich>
          </c:tx>
          <c:layout>
            <c:manualLayout>
              <c:xMode val="edge"/>
              <c:yMode val="edge"/>
              <c:x val="0.28373217223888869"/>
              <c:y val="0.910964195513296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01566256"/>
        <c:crosses val="autoZero"/>
        <c:auto val="1"/>
        <c:lblAlgn val="ctr"/>
        <c:lblOffset val="100"/>
        <c:noMultiLvlLbl val="0"/>
      </c:catAx>
      <c:valAx>
        <c:axId val="30156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Stiffness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 [N/</a:t>
                </a:r>
                <a:r>
                  <a:rPr lang="el-GR" sz="1200" b="1" baseline="0">
                    <a:solidFill>
                      <a:sysClr val="windowText" lastClr="000000"/>
                    </a:solidFill>
                  </a:rPr>
                  <a:t>μ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m]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54300672"/>
        <c:crosses val="autoZero"/>
        <c:crossBetween val="between"/>
      </c:valAx>
      <c:valAx>
        <c:axId val="44037747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Recess Pressure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30898799"/>
        <c:crosses val="max"/>
        <c:crossBetween val="between"/>
      </c:valAx>
      <c:catAx>
        <c:axId val="1030898799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40377471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898885348635981"/>
          <c:y val="0.49125549433541765"/>
          <c:w val="0.26245275967690052"/>
          <c:h val="0.265116786455327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4974564211716"/>
          <c:y val="6.7247494559358162E-2"/>
          <c:w val="0.73377244372494344"/>
          <c:h val="0.8042176442138752"/>
        </c:manualLayout>
      </c:layout>
      <c:lineChart>
        <c:grouping val="standard"/>
        <c:varyColors val="0"/>
        <c:ser>
          <c:idx val="0"/>
          <c:order val="1"/>
          <c:tx>
            <c:strRef>
              <c:f>'3 tasche'!$AF$8</c:f>
              <c:strCache>
                <c:ptCount val="1"/>
                <c:pt idx="0">
                  <c:v>Wd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tasche'!$AV$14:$AV$28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tasche'!$AF$9:$AF$21</c:f>
              <c:numCache>
                <c:formatCode>General</c:formatCode>
                <c:ptCount val="13"/>
                <c:pt idx="0">
                  <c:v>26981</c:v>
                </c:pt>
                <c:pt idx="1">
                  <c:v>25765</c:v>
                </c:pt>
                <c:pt idx="2">
                  <c:v>23685</c:v>
                </c:pt>
                <c:pt idx="3">
                  <c:v>20903</c:v>
                </c:pt>
                <c:pt idx="4">
                  <c:v>17786</c:v>
                </c:pt>
                <c:pt idx="5">
                  <c:v>14723</c:v>
                </c:pt>
                <c:pt idx="6">
                  <c:v>11978</c:v>
                </c:pt>
                <c:pt idx="7">
                  <c:v>9665</c:v>
                </c:pt>
                <c:pt idx="8">
                  <c:v>7787</c:v>
                </c:pt>
                <c:pt idx="9">
                  <c:v>6294</c:v>
                </c:pt>
                <c:pt idx="10">
                  <c:v>5117</c:v>
                </c:pt>
                <c:pt idx="11">
                  <c:v>4191</c:v>
                </c:pt>
                <c:pt idx="12">
                  <c:v>3461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C8-4425-B6B7-B98D58969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232080"/>
        <c:axId val="960487584"/>
      </c:lineChart>
      <c:lineChart>
        <c:grouping val="standard"/>
        <c:varyColors val="0"/>
        <c:ser>
          <c:idx val="1"/>
          <c:order val="0"/>
          <c:tx>
            <c:v>Pad Stiffness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tasche'!$W$75:$W$89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tasche'!$AE$9:$AE$21</c:f>
              <c:numCache>
                <c:formatCode>General</c:formatCode>
                <c:ptCount val="13"/>
                <c:pt idx="0">
                  <c:v>161.15</c:v>
                </c:pt>
                <c:pt idx="1">
                  <c:v>330.59</c:v>
                </c:pt>
                <c:pt idx="2">
                  <c:v>496.57</c:v>
                </c:pt>
                <c:pt idx="3">
                  <c:v>604.22</c:v>
                </c:pt>
                <c:pt idx="4">
                  <c:v>629.85</c:v>
                </c:pt>
                <c:pt idx="5">
                  <c:v>587.32000000000005</c:v>
                </c:pt>
                <c:pt idx="6">
                  <c:v>507.66</c:v>
                </c:pt>
                <c:pt idx="7">
                  <c:v>418.24</c:v>
                </c:pt>
                <c:pt idx="8">
                  <c:v>335.14</c:v>
                </c:pt>
                <c:pt idx="9">
                  <c:v>264.86</c:v>
                </c:pt>
                <c:pt idx="10">
                  <c:v>208.33</c:v>
                </c:pt>
                <c:pt idx="11">
                  <c:v>164.02</c:v>
                </c:pt>
                <c:pt idx="12">
                  <c:v>129.71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C8-4425-B6B7-B98D589697D7}"/>
            </c:ext>
          </c:extLst>
        </c:ser>
        <c:ser>
          <c:idx val="2"/>
          <c:order val="2"/>
          <c:tx>
            <c:strRef>
              <c:f>'3 tasche'!$X$72</c:f>
              <c:strCache>
                <c:ptCount val="1"/>
                <c:pt idx="0">
                  <c:v>30χ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tasche'!$W$75:$W$89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tasche'!$Z$75:$Z$89</c:f>
              <c:numCache>
                <c:formatCode>0</c:formatCode>
                <c:ptCount val="15"/>
                <c:pt idx="0">
                  <c:v>94.821439158739537</c:v>
                </c:pt>
                <c:pt idx="1">
                  <c:v>198.45111377371055</c:v>
                </c:pt>
                <c:pt idx="2">
                  <c:v>310.57174940649247</c:v>
                </c:pt>
                <c:pt idx="3">
                  <c:v>405.28785399430086</c:v>
                </c:pt>
                <c:pt idx="4">
                  <c:v>468.43758997252274</c:v>
                </c:pt>
                <c:pt idx="5">
                  <c:v>499.90876123369117</c:v>
                </c:pt>
                <c:pt idx="6">
                  <c:v>507.19361931422804</c:v>
                </c:pt>
                <c:pt idx="7">
                  <c:v>498.91833459384395</c:v>
                </c:pt>
                <c:pt idx="8">
                  <c:v>481.88617327242139</c:v>
                </c:pt>
                <c:pt idx="9">
                  <c:v>460.62853237123318</c:v>
                </c:pt>
                <c:pt idx="10">
                  <c:v>437.88799161145226</c:v>
                </c:pt>
                <c:pt idx="11">
                  <c:v>415.21516814682747</c:v>
                </c:pt>
                <c:pt idx="12">
                  <c:v>393.42849738408063</c:v>
                </c:pt>
                <c:pt idx="13">
                  <c:v>372.91712151587291</c:v>
                </c:pt>
                <c:pt idx="14">
                  <c:v>353.82677461281503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4C8-4425-B6B7-B98D58969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285983"/>
        <c:axId val="1137864031"/>
      </c:lineChart>
      <c:catAx>
        <c:axId val="93023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Design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 Film thickness [mm]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5663008802738438"/>
              <c:y val="0.925637698130699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60487584"/>
        <c:crosses val="autoZero"/>
        <c:auto val="1"/>
        <c:lblAlgn val="ctr"/>
        <c:lblOffset val="100"/>
        <c:noMultiLvlLbl val="0"/>
      </c:catAx>
      <c:valAx>
        <c:axId val="96048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Design Load Capacity [N]</a:t>
                </a:r>
              </a:p>
            </c:rich>
          </c:tx>
          <c:layout>
            <c:manualLayout>
              <c:xMode val="edge"/>
              <c:yMode val="edge"/>
              <c:x val="1.4068868548281354E-2"/>
              <c:y val="0.225697308890216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30232080"/>
        <c:crosses val="autoZero"/>
        <c:crossBetween val="between"/>
      </c:valAx>
      <c:valAx>
        <c:axId val="113786403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Stiffnes [N/um]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42285983"/>
        <c:crosses val="max"/>
        <c:crossBetween val="between"/>
      </c:valAx>
      <c:catAx>
        <c:axId val="11422859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78640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664827431535451"/>
          <c:y val="0.1675852567706787"/>
          <c:w val="0.23396459584415974"/>
          <c:h val="0.198610217535632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57661387200954"/>
          <c:y val="6.7247494559358162E-2"/>
          <c:w val="0.79920901291120217"/>
          <c:h val="0.8042176442138752"/>
        </c:manualLayout>
      </c:layout>
      <c:lineChart>
        <c:grouping val="standard"/>
        <c:varyColors val="0"/>
        <c:ser>
          <c:idx val="0"/>
          <c:order val="1"/>
          <c:tx>
            <c:v>Load Wd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tasche'!$AF$9:$AF$21</c:f>
              <c:numCache>
                <c:formatCode>General</c:formatCode>
                <c:ptCount val="13"/>
                <c:pt idx="0">
                  <c:v>26981</c:v>
                </c:pt>
                <c:pt idx="1">
                  <c:v>25765</c:v>
                </c:pt>
                <c:pt idx="2">
                  <c:v>23685</c:v>
                </c:pt>
                <c:pt idx="3">
                  <c:v>20903</c:v>
                </c:pt>
                <c:pt idx="4">
                  <c:v>17786</c:v>
                </c:pt>
                <c:pt idx="5">
                  <c:v>14723</c:v>
                </c:pt>
                <c:pt idx="6">
                  <c:v>11978</c:v>
                </c:pt>
                <c:pt idx="7">
                  <c:v>9665</c:v>
                </c:pt>
                <c:pt idx="8">
                  <c:v>7787</c:v>
                </c:pt>
                <c:pt idx="9">
                  <c:v>6294</c:v>
                </c:pt>
                <c:pt idx="10">
                  <c:v>5117</c:v>
                </c:pt>
                <c:pt idx="11">
                  <c:v>4191</c:v>
                </c:pt>
                <c:pt idx="12">
                  <c:v>3461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67-444D-AC56-D26E880DD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232080"/>
        <c:axId val="960487584"/>
      </c:lineChart>
      <c:lineChart>
        <c:grouping val="standard"/>
        <c:varyColors val="0"/>
        <c:ser>
          <c:idx val="1"/>
          <c:order val="0"/>
          <c:tx>
            <c:v>Pad Stiffness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tasche'!$AE$9:$AE$21</c:f>
              <c:numCache>
                <c:formatCode>General</c:formatCode>
                <c:ptCount val="13"/>
                <c:pt idx="0">
                  <c:v>161.15</c:v>
                </c:pt>
                <c:pt idx="1">
                  <c:v>330.59</c:v>
                </c:pt>
                <c:pt idx="2">
                  <c:v>496.57</c:v>
                </c:pt>
                <c:pt idx="3">
                  <c:v>604.22</c:v>
                </c:pt>
                <c:pt idx="4">
                  <c:v>629.85</c:v>
                </c:pt>
                <c:pt idx="5">
                  <c:v>587.32000000000005</c:v>
                </c:pt>
                <c:pt idx="6">
                  <c:v>507.66</c:v>
                </c:pt>
                <c:pt idx="7">
                  <c:v>418.24</c:v>
                </c:pt>
                <c:pt idx="8">
                  <c:v>335.14</c:v>
                </c:pt>
                <c:pt idx="9">
                  <c:v>264.86</c:v>
                </c:pt>
                <c:pt idx="10">
                  <c:v>208.33</c:v>
                </c:pt>
                <c:pt idx="11">
                  <c:v>164.02</c:v>
                </c:pt>
                <c:pt idx="12">
                  <c:v>129.71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67-444D-AC56-D26E880DD17F}"/>
            </c:ext>
          </c:extLst>
        </c:ser>
        <c:ser>
          <c:idx val="2"/>
          <c:order val="2"/>
          <c:tx>
            <c:strRef>
              <c:f>'3 tasche'!$X$72</c:f>
              <c:strCache>
                <c:ptCount val="1"/>
                <c:pt idx="0">
                  <c:v>30χ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tasche'!$Z$75:$Z$87</c:f>
              <c:numCache>
                <c:formatCode>0</c:formatCode>
                <c:ptCount val="13"/>
                <c:pt idx="0">
                  <c:v>94.821439158739537</c:v>
                </c:pt>
                <c:pt idx="1">
                  <c:v>198.45111377371055</c:v>
                </c:pt>
                <c:pt idx="2">
                  <c:v>310.57174940649247</c:v>
                </c:pt>
                <c:pt idx="3">
                  <c:v>405.28785399430086</c:v>
                </c:pt>
                <c:pt idx="4">
                  <c:v>468.43758997252274</c:v>
                </c:pt>
                <c:pt idx="5">
                  <c:v>499.90876123369117</c:v>
                </c:pt>
                <c:pt idx="6">
                  <c:v>507.19361931422804</c:v>
                </c:pt>
                <c:pt idx="7">
                  <c:v>498.91833459384395</c:v>
                </c:pt>
                <c:pt idx="8">
                  <c:v>481.88617327242139</c:v>
                </c:pt>
                <c:pt idx="9">
                  <c:v>460.62853237123318</c:v>
                </c:pt>
                <c:pt idx="10">
                  <c:v>437.88799161145226</c:v>
                </c:pt>
                <c:pt idx="11">
                  <c:v>415.21516814682747</c:v>
                </c:pt>
                <c:pt idx="12">
                  <c:v>393.42849738408063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AF-4516-A26F-94E14805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285983"/>
        <c:axId val="1137864031"/>
      </c:lineChart>
      <c:catAx>
        <c:axId val="93023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400" b="1">
                    <a:solidFill>
                      <a:sysClr val="windowText" lastClr="000000"/>
                    </a:solidFill>
                  </a:rPr>
                  <a:t>Design</a:t>
                </a:r>
                <a:r>
                  <a:rPr lang="pt-BR" sz="1400" b="1" baseline="0">
                    <a:solidFill>
                      <a:sysClr val="windowText" lastClr="000000"/>
                    </a:solidFill>
                  </a:rPr>
                  <a:t> Film thickness [mm]</a:t>
                </a:r>
                <a:endParaRPr lang="pt-BR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5663008802738438"/>
              <c:y val="0.925637698130699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60487584"/>
        <c:crosses val="autoZero"/>
        <c:auto val="1"/>
        <c:lblAlgn val="ctr"/>
        <c:lblOffset val="100"/>
        <c:noMultiLvlLbl val="0"/>
      </c:catAx>
      <c:valAx>
        <c:axId val="96048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400" b="1">
                    <a:solidFill>
                      <a:sysClr val="windowText" lastClr="000000"/>
                    </a:solidFill>
                  </a:rPr>
                  <a:t>Load [N]</a:t>
                </a:r>
              </a:p>
            </c:rich>
          </c:tx>
          <c:layout>
            <c:manualLayout>
              <c:xMode val="edge"/>
              <c:yMode val="edge"/>
              <c:x val="1.6599552315409178E-2"/>
              <c:y val="0.383443765251483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30232080"/>
        <c:crosses val="autoZero"/>
        <c:crossBetween val="between"/>
      </c:valAx>
      <c:valAx>
        <c:axId val="113786403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400" b="1">
                    <a:solidFill>
                      <a:sysClr val="windowText" lastClr="000000"/>
                    </a:solidFill>
                  </a:rPr>
                  <a:t>Stiffnes [N/um]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42285983"/>
        <c:crosses val="max"/>
        <c:crossBetween val="between"/>
      </c:valAx>
      <c:catAx>
        <c:axId val="11422859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78640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203288543519835"/>
          <c:y val="0.12426841710690302"/>
          <c:w val="0.31796704008088927"/>
          <c:h val="3.9260138402117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 tasche'!$X$72</c:f>
              <c:strCache>
                <c:ptCount val="1"/>
                <c:pt idx="0">
                  <c:v>30χ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 tasche'!$W$73:$W$89</c:f>
              <c:numCache>
                <c:formatCode>General</c:formatCode>
                <c:ptCount val="17"/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</c:numCache>
            </c:numRef>
          </c:xVal>
          <c:yVal>
            <c:numRef>
              <c:f>'3 tasche'!$X$73:$X$89</c:f>
              <c:numCache>
                <c:formatCode>0</c:formatCode>
                <c:ptCount val="17"/>
                <c:pt idx="2">
                  <c:v>3.1607146386246512E-3</c:v>
                </c:pt>
                <c:pt idx="3">
                  <c:v>6.6150371257903519E-3</c:v>
                </c:pt>
                <c:pt idx="4">
                  <c:v>1.0352391646883083E-2</c:v>
                </c:pt>
                <c:pt idx="5">
                  <c:v>1.3509595133143362E-2</c:v>
                </c:pt>
                <c:pt idx="6">
                  <c:v>1.5614586332417425E-2</c:v>
                </c:pt>
                <c:pt idx="7">
                  <c:v>1.6663625374456374E-2</c:v>
                </c:pt>
                <c:pt idx="8">
                  <c:v>1.6906453977140936E-2</c:v>
                </c:pt>
                <c:pt idx="9">
                  <c:v>1.6630611153128132E-2</c:v>
                </c:pt>
                <c:pt idx="10">
                  <c:v>1.6062872442414049E-2</c:v>
                </c:pt>
                <c:pt idx="11">
                  <c:v>1.5354284412374439E-2</c:v>
                </c:pt>
                <c:pt idx="12">
                  <c:v>1.4596266387048409E-2</c:v>
                </c:pt>
                <c:pt idx="13">
                  <c:v>1.3840505604894249E-2</c:v>
                </c:pt>
                <c:pt idx="14">
                  <c:v>1.311428324613602E-2</c:v>
                </c:pt>
                <c:pt idx="15">
                  <c:v>1.2430570717195763E-2</c:v>
                </c:pt>
                <c:pt idx="16">
                  <c:v>1.1794225820427167E-2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E3-4043-AE6F-A910DFC6EE1B}"/>
            </c:ext>
          </c:extLst>
        </c:ser>
        <c:ser>
          <c:idx val="1"/>
          <c:order val="1"/>
          <c:tx>
            <c:v>p*Wd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 tasche'!$W$75:$W$89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xVal>
          <c:yVal>
            <c:numRef>
              <c:f>'3 tasche'!$Y$75:$Y$89</c:f>
              <c:numCache>
                <c:formatCode>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EE3-4043-AE6F-A910DFC6E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723231"/>
        <c:axId val="1135720079"/>
      </c:scatterChart>
      <c:valAx>
        <c:axId val="1194723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35720079"/>
        <c:crosses val="autoZero"/>
        <c:crossBetween val="midCat"/>
      </c:valAx>
      <c:valAx>
        <c:axId val="1135720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94723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2000">
                <a:solidFill>
                  <a:sysClr val="windowText" lastClr="000000"/>
                </a:solidFill>
              </a:rPr>
              <a:t>Journal</a:t>
            </a:r>
            <a:r>
              <a:rPr lang="pt-BR" sz="2000" baseline="0">
                <a:solidFill>
                  <a:sysClr val="windowText" lastClr="000000"/>
                </a:solidFill>
              </a:rPr>
              <a:t> bearing stiffness</a:t>
            </a:r>
            <a:endParaRPr lang="pt-BR" sz="2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39543278377228286"/>
          <c:y val="2.03962722680719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2585133759184866"/>
          <c:y val="9.1290446115645713E-2"/>
          <c:w val="0.85211529047239176"/>
          <c:h val="0.79246198745131391"/>
        </c:manualLayout>
      </c:layout>
      <c:lineChart>
        <c:grouping val="standard"/>
        <c:varyColors val="0"/>
        <c:ser>
          <c:idx val="0"/>
          <c:order val="0"/>
          <c:tx>
            <c:v>k_UP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tasche'!$W$74:$W$78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</c:numCache>
            </c:numRef>
          </c:cat>
          <c:val>
            <c:numRef>
              <c:f>'3 tasche'!$AJ$5:$AJ$9</c:f>
              <c:numCache>
                <c:formatCode>0</c:formatCode>
                <c:ptCount val="5"/>
                <c:pt idx="0">
                  <c:v>4354</c:v>
                </c:pt>
                <c:pt idx="1">
                  <c:v>2467</c:v>
                </c:pt>
                <c:pt idx="2">
                  <c:v>1789.3</c:v>
                </c:pt>
                <c:pt idx="3">
                  <c:v>1405</c:v>
                </c:pt>
                <c:pt idx="4">
                  <c:v>1144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53-45A7-ADCF-DE323580F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6441456"/>
        <c:axId val="1923618672"/>
      </c:lineChart>
      <c:catAx>
        <c:axId val="726441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</a:rPr>
                  <a:t>Spindle vertical displacement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23618672"/>
        <c:crosses val="autoZero"/>
        <c:auto val="1"/>
        <c:lblAlgn val="ctr"/>
        <c:lblOffset val="100"/>
        <c:noMultiLvlLbl val="0"/>
      </c:catAx>
      <c:valAx>
        <c:axId val="192361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</a:rPr>
                  <a:t>Stiffness [N/um]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26441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329414219047631"/>
          <c:y val="0.18126247464920017"/>
          <c:w val="0.25027649372412147"/>
          <c:h val="0.449737231921058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2555804435634307"/>
          <c:y val="0.16101891905260807"/>
          <c:w val="0.80292217437029512"/>
          <c:h val="0.6071904226875402"/>
        </c:manualLayout>
      </c:layout>
      <c:lineChart>
        <c:grouping val="standard"/>
        <c:varyColors val="0"/>
        <c:ser>
          <c:idx val="1"/>
          <c:order val="0"/>
          <c:tx>
            <c:strRef>
              <c:f>'3 tasche'!$AE$50</c:f>
              <c:strCache>
                <c:ptCount val="1"/>
                <c:pt idx="0">
                  <c:v>lc=500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tasche'!$AE$52:$AE$59</c:f>
              <c:numCache>
                <c:formatCode>General</c:formatCode>
                <c:ptCount val="8"/>
                <c:pt idx="0">
                  <c:v>202.35</c:v>
                </c:pt>
                <c:pt idx="1">
                  <c:v>358.29</c:v>
                </c:pt>
                <c:pt idx="2">
                  <c:v>524.42999999999995</c:v>
                </c:pt>
                <c:pt idx="3">
                  <c:v>653.02</c:v>
                </c:pt>
                <c:pt idx="4">
                  <c:v>712.29</c:v>
                </c:pt>
                <c:pt idx="5">
                  <c:v>701.69</c:v>
                </c:pt>
                <c:pt idx="6">
                  <c:v>559.9</c:v>
                </c:pt>
                <c:pt idx="7">
                  <c:v>392.7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98-4BBD-987E-9CC00BDDE8AF}"/>
            </c:ext>
          </c:extLst>
        </c:ser>
        <c:ser>
          <c:idx val="2"/>
          <c:order val="1"/>
          <c:tx>
            <c:strRef>
              <c:f>'3 tasche'!$AF$50</c:f>
              <c:strCache>
                <c:ptCount val="1"/>
                <c:pt idx="0">
                  <c:v>lc=300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tasche'!$AF$52:$AF$59</c:f>
              <c:numCache>
                <c:formatCode>General</c:formatCode>
                <c:ptCount val="8"/>
                <c:pt idx="0">
                  <c:v>305.3</c:v>
                </c:pt>
                <c:pt idx="1">
                  <c:v>495.53</c:v>
                </c:pt>
                <c:pt idx="2">
                  <c:v>648.45000000000005</c:v>
                </c:pt>
                <c:pt idx="3">
                  <c:v>713.98</c:v>
                </c:pt>
                <c:pt idx="4">
                  <c:v>691.6</c:v>
                </c:pt>
                <c:pt idx="5">
                  <c:v>614.04</c:v>
                </c:pt>
                <c:pt idx="6">
                  <c:v>420.96</c:v>
                </c:pt>
                <c:pt idx="7">
                  <c:v>269.89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98-4BBD-987E-9CC00BDDE8AF}"/>
            </c:ext>
          </c:extLst>
        </c:ser>
        <c:ser>
          <c:idx val="3"/>
          <c:order val="2"/>
          <c:tx>
            <c:strRef>
              <c:f>'3 tasche'!$AG$50</c:f>
              <c:strCache>
                <c:ptCount val="1"/>
                <c:pt idx="0">
                  <c:v>lc=100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tasche'!$AG$52:$AG$59</c:f>
              <c:numCache>
                <c:formatCode>General</c:formatCode>
                <c:ptCount val="8"/>
                <c:pt idx="0">
                  <c:v>593.04999999999995</c:v>
                </c:pt>
                <c:pt idx="1">
                  <c:v>711.65</c:v>
                </c:pt>
                <c:pt idx="2">
                  <c:v>678.42</c:v>
                </c:pt>
                <c:pt idx="3">
                  <c:v>563.14</c:v>
                </c:pt>
                <c:pt idx="4">
                  <c:v>435.11</c:v>
                </c:pt>
                <c:pt idx="5">
                  <c:v>326.04000000000002</c:v>
                </c:pt>
                <c:pt idx="6">
                  <c:v>180.96</c:v>
                </c:pt>
                <c:pt idx="7">
                  <c:v>104.07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98-4BBD-987E-9CC00BDDE8AF}"/>
            </c:ext>
          </c:extLst>
        </c:ser>
        <c:ser>
          <c:idx val="4"/>
          <c:order val="3"/>
          <c:tx>
            <c:strRef>
              <c:f>'3 tasche'!$AH$50</c:f>
              <c:strCache>
                <c:ptCount val="1"/>
                <c:pt idx="0">
                  <c:v>lc=50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tasche'!$AH$52:$AH$59</c:f>
              <c:numCache>
                <c:formatCode>General</c:formatCode>
                <c:ptCount val="8"/>
                <c:pt idx="0">
                  <c:v>709.48</c:v>
                </c:pt>
                <c:pt idx="1">
                  <c:v>665.75</c:v>
                </c:pt>
                <c:pt idx="2">
                  <c:v>520.74</c:v>
                </c:pt>
                <c:pt idx="3">
                  <c:v>375.94</c:v>
                </c:pt>
                <c:pt idx="4">
                  <c:v>264.72000000000003</c:v>
                </c:pt>
                <c:pt idx="5">
                  <c:v>186.69</c:v>
                </c:pt>
                <c:pt idx="6">
                  <c:v>96.94</c:v>
                </c:pt>
                <c:pt idx="7">
                  <c:v>54.06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98-4BBD-987E-9CC00BDDE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6415456"/>
        <c:axId val="2144483840"/>
      </c:lineChart>
      <c:catAx>
        <c:axId val="72641545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83840"/>
        <c:crosses val="autoZero"/>
        <c:auto val="1"/>
        <c:lblAlgn val="ctr"/>
        <c:lblOffset val="100"/>
        <c:noMultiLvlLbl val="0"/>
      </c:catAx>
      <c:valAx>
        <c:axId val="214448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2641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222250381890886"/>
          <c:y val="0.14058526429394413"/>
          <c:w val="0.16910294941577114"/>
          <c:h val="0.215882187413618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 tasche'!$AQ$11:$AU$11</c:f>
              <c:strCache>
                <c:ptCount val="1"/>
                <c:pt idx="0">
                  <c:v>l=500mm; C=21,83mm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tasche'!$AV$14:$AV$28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tasche'!$AT$14:$AT$28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10C-41DF-BB93-77C78AA59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9792463"/>
        <c:axId val="704396287"/>
      </c:lineChart>
      <c:catAx>
        <c:axId val="709792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4396287"/>
        <c:crosses val="autoZero"/>
        <c:auto val="1"/>
        <c:lblAlgn val="ctr"/>
        <c:lblOffset val="100"/>
        <c:noMultiLvlLbl val="0"/>
      </c:catAx>
      <c:valAx>
        <c:axId val="70439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9792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9914354763486295E-2"/>
          <c:y val="0.31801012660963918"/>
          <c:w val="0.89999811561635834"/>
          <c:h val="0.562503937007874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beta=0,25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7543331836723289"/>
          <c:y val="0.2533225905732866"/>
          <c:w val="0.78779141313288714"/>
          <c:h val="0.5152891241841997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tasche'!$AJ$21</c:f>
              <c:strCache>
                <c:ptCount val="1"/>
                <c:pt idx="0">
                  <c:v>k_UP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tasche'!$AM$22:$AM$32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>
                  <c:v>1</c:v>
                </c:pt>
                <c:pt idx="6">
                  <c:v>1.167</c:v>
                </c:pt>
                <c:pt idx="7">
                  <c:v>1.333</c:v>
                </c:pt>
                <c:pt idx="8">
                  <c:v>1.5</c:v>
                </c:pt>
                <c:pt idx="9">
                  <c:v>1.67</c:v>
                </c:pt>
                <c:pt idx="10">
                  <c:v>1.83</c:v>
                </c:pt>
              </c:numCache>
            </c:numRef>
          </c:cat>
          <c:val>
            <c:numRef>
              <c:f>'3 tasche'!$AJ$22:$AJ$32</c:f>
              <c:numCache>
                <c:formatCode>0</c:formatCode>
                <c:ptCount val="11"/>
                <c:pt idx="0">
                  <c:v>1131.08</c:v>
                </c:pt>
                <c:pt idx="1">
                  <c:v>1292</c:v>
                </c:pt>
                <c:pt idx="2">
                  <c:v>1395</c:v>
                </c:pt>
                <c:pt idx="3">
                  <c:v>1527</c:v>
                </c:pt>
                <c:pt idx="4">
                  <c:v>2113.88</c:v>
                </c:pt>
                <c:pt idx="6">
                  <c:v>1006</c:v>
                </c:pt>
                <c:pt idx="7">
                  <c:v>357.68</c:v>
                </c:pt>
                <c:pt idx="8">
                  <c:v>173.93</c:v>
                </c:pt>
                <c:pt idx="9">
                  <c:v>97.5</c:v>
                </c:pt>
                <c:pt idx="10">
                  <c:v>59.6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3EE-4896-9656-2FAB5F57B22A}"/>
            </c:ext>
          </c:extLst>
        </c:ser>
        <c:ser>
          <c:idx val="1"/>
          <c:order val="1"/>
          <c:tx>
            <c:strRef>
              <c:f>'3 tasche'!$AL$21</c:f>
              <c:strCache>
                <c:ptCount val="1"/>
                <c:pt idx="0">
                  <c:v>k1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tasche'!$AM$22:$AM$32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>
                  <c:v>1</c:v>
                </c:pt>
                <c:pt idx="6">
                  <c:v>1.167</c:v>
                </c:pt>
                <c:pt idx="7">
                  <c:v>1.333</c:v>
                </c:pt>
                <c:pt idx="8">
                  <c:v>1.5</c:v>
                </c:pt>
                <c:pt idx="9">
                  <c:v>1.67</c:v>
                </c:pt>
                <c:pt idx="10">
                  <c:v>1.83</c:v>
                </c:pt>
              </c:numCache>
            </c:numRef>
          </c:cat>
          <c:val>
            <c:numRef>
              <c:f>'3 tasche'!$AL$22:$AL$32</c:f>
              <c:numCache>
                <c:formatCode>0</c:formatCode>
                <c:ptCount val="11"/>
                <c:pt idx="0">
                  <c:v>229.54</c:v>
                </c:pt>
                <c:pt idx="1">
                  <c:v>766.23</c:v>
                </c:pt>
                <c:pt idx="2">
                  <c:v>1130</c:v>
                </c:pt>
                <c:pt idx="3">
                  <c:v>1070</c:v>
                </c:pt>
                <c:pt idx="4">
                  <c:v>800.92</c:v>
                </c:pt>
                <c:pt idx="5">
                  <c:v>541.28</c:v>
                </c:pt>
                <c:pt idx="6">
                  <c:v>355.54</c:v>
                </c:pt>
                <c:pt idx="7">
                  <c:v>234.81</c:v>
                </c:pt>
                <c:pt idx="8">
                  <c:v>158.11000000000001</c:v>
                </c:pt>
                <c:pt idx="9">
                  <c:v>109.05</c:v>
                </c:pt>
                <c:pt idx="10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33EE-4896-9656-2FAB5F57B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686271"/>
        <c:axId val="608852271"/>
      </c:lineChart>
      <c:catAx>
        <c:axId val="6226862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h1/h0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8852271"/>
        <c:crosses val="autoZero"/>
        <c:auto val="1"/>
        <c:lblAlgn val="ctr"/>
        <c:lblOffset val="100"/>
        <c:noMultiLvlLbl val="0"/>
      </c:catAx>
      <c:valAx>
        <c:axId val="60885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k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2268627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743356681457753"/>
          <c:y val="0.13581979806378208"/>
          <c:w val="0.29262785505578964"/>
          <c:h val="0.2625077412516557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13" Type="http://schemas.openxmlformats.org/officeDocument/2006/relationships/chart" Target="../charts/chart8.xml"/><Relationship Id="rId18" Type="http://schemas.openxmlformats.org/officeDocument/2006/relationships/chart" Target="../charts/chart13.xml"/><Relationship Id="rId3" Type="http://schemas.openxmlformats.org/officeDocument/2006/relationships/image" Target="../media/image3.JPG"/><Relationship Id="rId7" Type="http://schemas.openxmlformats.org/officeDocument/2006/relationships/chart" Target="../charts/chart2.xml"/><Relationship Id="rId12" Type="http://schemas.openxmlformats.org/officeDocument/2006/relationships/chart" Target="../charts/chart7.xml"/><Relationship Id="rId17" Type="http://schemas.openxmlformats.org/officeDocument/2006/relationships/chart" Target="../charts/chart12.xml"/><Relationship Id="rId2" Type="http://schemas.openxmlformats.org/officeDocument/2006/relationships/image" Target="../media/image7.jpeg"/><Relationship Id="rId16" Type="http://schemas.openxmlformats.org/officeDocument/2006/relationships/chart" Target="../charts/chart11.xml"/><Relationship Id="rId20" Type="http://schemas.openxmlformats.org/officeDocument/2006/relationships/chart" Target="../charts/chart15.xml"/><Relationship Id="rId1" Type="http://schemas.openxmlformats.org/officeDocument/2006/relationships/image" Target="../media/image6.jpeg"/><Relationship Id="rId6" Type="http://schemas.openxmlformats.org/officeDocument/2006/relationships/chart" Target="../charts/chart1.xml"/><Relationship Id="rId11" Type="http://schemas.openxmlformats.org/officeDocument/2006/relationships/chart" Target="../charts/chart6.xml"/><Relationship Id="rId5" Type="http://schemas.openxmlformats.org/officeDocument/2006/relationships/image" Target="../media/image8.jpeg"/><Relationship Id="rId15" Type="http://schemas.openxmlformats.org/officeDocument/2006/relationships/chart" Target="../charts/chart10.xml"/><Relationship Id="rId10" Type="http://schemas.openxmlformats.org/officeDocument/2006/relationships/chart" Target="../charts/chart5.xml"/><Relationship Id="rId19" Type="http://schemas.openxmlformats.org/officeDocument/2006/relationships/chart" Target="../charts/chart14.xml"/><Relationship Id="rId4" Type="http://schemas.openxmlformats.org/officeDocument/2006/relationships/image" Target="../media/image4.JPG"/><Relationship Id="rId9" Type="http://schemas.openxmlformats.org/officeDocument/2006/relationships/chart" Target="../charts/chart4.xml"/><Relationship Id="rId1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3387</xdr:colOff>
      <xdr:row>12</xdr:row>
      <xdr:rowOff>147607</xdr:rowOff>
    </xdr:from>
    <xdr:to>
      <xdr:col>3</xdr:col>
      <xdr:colOff>39024</xdr:colOff>
      <xdr:row>17</xdr:row>
      <xdr:rowOff>55458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7B273C3-243C-4E4C-B0F7-E6ABB2305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987" y="2247340"/>
          <a:ext cx="1254837" cy="842994"/>
        </a:xfrm>
        <a:prstGeom prst="rect">
          <a:avLst/>
        </a:prstGeom>
      </xdr:spPr>
    </xdr:pic>
    <xdr:clientData/>
  </xdr:twoCellAnchor>
  <xdr:twoCellAnchor editAs="oneCell">
    <xdr:from>
      <xdr:col>0</xdr:col>
      <xdr:colOff>169333</xdr:colOff>
      <xdr:row>27</xdr:row>
      <xdr:rowOff>2</xdr:rowOff>
    </xdr:from>
    <xdr:to>
      <xdr:col>2</xdr:col>
      <xdr:colOff>588010</xdr:colOff>
      <xdr:row>31</xdr:row>
      <xdr:rowOff>93239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15C0FDC6-FCF0-496B-AD61-11F2F425E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33" y="4893735"/>
          <a:ext cx="1634067" cy="885294"/>
        </a:xfrm>
        <a:prstGeom prst="rect">
          <a:avLst/>
        </a:prstGeom>
      </xdr:spPr>
    </xdr:pic>
    <xdr:clientData/>
  </xdr:twoCellAnchor>
  <xdr:twoCellAnchor editAs="oneCell">
    <xdr:from>
      <xdr:col>13</xdr:col>
      <xdr:colOff>167641</xdr:colOff>
      <xdr:row>0</xdr:row>
      <xdr:rowOff>0</xdr:rowOff>
    </xdr:from>
    <xdr:to>
      <xdr:col>16</xdr:col>
      <xdr:colOff>220769</xdr:colOff>
      <xdr:row>11</xdr:row>
      <xdr:rowOff>97278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71073271-15D1-42AA-AE0A-18D16433E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63574" y="0"/>
          <a:ext cx="2846493" cy="2159335"/>
        </a:xfrm>
        <a:prstGeom prst="rect">
          <a:avLst/>
        </a:prstGeom>
      </xdr:spPr>
    </xdr:pic>
    <xdr:clientData/>
  </xdr:twoCellAnchor>
  <xdr:twoCellAnchor editAs="oneCell">
    <xdr:from>
      <xdr:col>12</xdr:col>
      <xdr:colOff>203542</xdr:colOff>
      <xdr:row>15</xdr:row>
      <xdr:rowOff>39794</xdr:rowOff>
    </xdr:from>
    <xdr:to>
      <xdr:col>13</xdr:col>
      <xdr:colOff>436961</xdr:colOff>
      <xdr:row>25</xdr:row>
      <xdr:rowOff>21551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9DD697EA-C24A-4917-BEFE-CE8A1F68A9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207"/>
        <a:stretch/>
      </xdr:blipFill>
      <xdr:spPr>
        <a:xfrm>
          <a:off x="9372942" y="2672927"/>
          <a:ext cx="863764" cy="1874480"/>
        </a:xfrm>
        <a:prstGeom prst="rect">
          <a:avLst/>
        </a:prstGeom>
      </xdr:spPr>
    </xdr:pic>
    <xdr:clientData/>
  </xdr:twoCellAnchor>
  <xdr:twoCellAnchor editAs="oneCell">
    <xdr:from>
      <xdr:col>3</xdr:col>
      <xdr:colOff>59266</xdr:colOff>
      <xdr:row>57</xdr:row>
      <xdr:rowOff>42333</xdr:rowOff>
    </xdr:from>
    <xdr:to>
      <xdr:col>5</xdr:col>
      <xdr:colOff>822113</xdr:colOff>
      <xdr:row>67</xdr:row>
      <xdr:rowOff>22819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DF12EF4-FC27-4EE0-8DBB-359DD2C42A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8066" y="10659533"/>
          <a:ext cx="2717800" cy="1846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11</xdr:row>
      <xdr:rowOff>156072</xdr:rowOff>
    </xdr:from>
    <xdr:to>
      <xdr:col>2</xdr:col>
      <xdr:colOff>549487</xdr:colOff>
      <xdr:row>17</xdr:row>
      <xdr:rowOff>168999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71CADD2-3EB1-4BDD-8E47-E9DACADF9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035672"/>
          <a:ext cx="1684867" cy="1131888"/>
        </a:xfrm>
        <a:prstGeom prst="rect">
          <a:avLst/>
        </a:prstGeom>
      </xdr:spPr>
    </xdr:pic>
    <xdr:clientData/>
  </xdr:twoCellAnchor>
  <xdr:twoCellAnchor editAs="oneCell">
    <xdr:from>
      <xdr:col>0</xdr:col>
      <xdr:colOff>30620</xdr:colOff>
      <xdr:row>26</xdr:row>
      <xdr:rowOff>182033</xdr:rowOff>
    </xdr:from>
    <xdr:to>
      <xdr:col>2</xdr:col>
      <xdr:colOff>439999</xdr:colOff>
      <xdr:row>31</xdr:row>
      <xdr:rowOff>17147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7EFB509-25DE-4572-9576-49D97B2C0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20" y="4611158"/>
          <a:ext cx="1691444" cy="894292"/>
        </a:xfrm>
        <a:prstGeom prst="rect">
          <a:avLst/>
        </a:prstGeom>
      </xdr:spPr>
    </xdr:pic>
    <xdr:clientData/>
  </xdr:twoCellAnchor>
  <xdr:twoCellAnchor editAs="oneCell">
    <xdr:from>
      <xdr:col>14</xdr:col>
      <xdr:colOff>82976</xdr:colOff>
      <xdr:row>0</xdr:row>
      <xdr:rowOff>22346</xdr:rowOff>
    </xdr:from>
    <xdr:to>
      <xdr:col>16</xdr:col>
      <xdr:colOff>855046</xdr:colOff>
      <xdr:row>11</xdr:row>
      <xdr:rowOff>93444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1B21FA4-E32D-463C-A17D-441C2BA99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7433" y="22346"/>
          <a:ext cx="2843620" cy="2138023"/>
        </a:xfrm>
        <a:prstGeom prst="rect">
          <a:avLst/>
        </a:prstGeom>
      </xdr:spPr>
    </xdr:pic>
    <xdr:clientData/>
  </xdr:twoCellAnchor>
  <xdr:twoCellAnchor editAs="oneCell">
    <xdr:from>
      <xdr:col>12</xdr:col>
      <xdr:colOff>178142</xdr:colOff>
      <xdr:row>15</xdr:row>
      <xdr:rowOff>124459</xdr:rowOff>
    </xdr:from>
    <xdr:to>
      <xdr:col>13</xdr:col>
      <xdr:colOff>415372</xdr:colOff>
      <xdr:row>25</xdr:row>
      <xdr:rowOff>55385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06F3652-45D1-4434-9535-8FFF011C33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207"/>
        <a:stretch/>
      </xdr:blipFill>
      <xdr:spPr>
        <a:xfrm>
          <a:off x="9042742" y="2571326"/>
          <a:ext cx="863764" cy="1874480"/>
        </a:xfrm>
        <a:prstGeom prst="rect">
          <a:avLst/>
        </a:prstGeom>
      </xdr:spPr>
    </xdr:pic>
    <xdr:clientData/>
  </xdr:twoCellAnchor>
  <xdr:twoCellAnchor editAs="oneCell">
    <xdr:from>
      <xdr:col>19</xdr:col>
      <xdr:colOff>171368</xdr:colOff>
      <xdr:row>1</xdr:row>
      <xdr:rowOff>152401</xdr:rowOff>
    </xdr:from>
    <xdr:to>
      <xdr:col>21</xdr:col>
      <xdr:colOff>936123</xdr:colOff>
      <xdr:row>12</xdr:row>
      <xdr:rowOff>169001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3734DD81-6208-44EE-872E-FA5A24FA0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4539" y="337458"/>
          <a:ext cx="2341824" cy="2079171"/>
        </a:xfrm>
        <a:prstGeom prst="rect">
          <a:avLst/>
        </a:prstGeom>
      </xdr:spPr>
    </xdr:pic>
    <xdr:clientData/>
  </xdr:twoCellAnchor>
  <xdr:twoCellAnchor>
    <xdr:from>
      <xdr:col>13</xdr:col>
      <xdr:colOff>76198</xdr:colOff>
      <xdr:row>45</xdr:row>
      <xdr:rowOff>171061</xdr:rowOff>
    </xdr:from>
    <xdr:to>
      <xdr:col>13</xdr:col>
      <xdr:colOff>85531</xdr:colOff>
      <xdr:row>50</xdr:row>
      <xdr:rowOff>21770</xdr:rowOff>
    </xdr:to>
    <xdr:cxnSp macro="">
      <xdr:nvCxnSpPr>
        <xdr:cNvPr id="7" name="Connettore 2 6">
          <a:extLst>
            <a:ext uri="{FF2B5EF4-FFF2-40B4-BE49-F238E27FC236}">
              <a16:creationId xmlns:a16="http://schemas.microsoft.com/office/drawing/2014/main" id="{E37A921D-838D-432D-ACFD-9886B3F1618C}"/>
            </a:ext>
          </a:extLst>
        </xdr:cNvPr>
        <xdr:cNvCxnSpPr/>
      </xdr:nvCxnSpPr>
      <xdr:spPr>
        <a:xfrm flipV="1">
          <a:off x="9966647" y="7892143"/>
          <a:ext cx="9333" cy="822647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65311</xdr:colOff>
      <xdr:row>50</xdr:row>
      <xdr:rowOff>32657</xdr:rowOff>
    </xdr:from>
    <xdr:to>
      <xdr:col>13</xdr:col>
      <xdr:colOff>1099454</xdr:colOff>
      <xdr:row>50</xdr:row>
      <xdr:rowOff>32657</xdr:rowOff>
    </xdr:to>
    <xdr:cxnSp macro="">
      <xdr:nvCxnSpPr>
        <xdr:cNvPr id="10" name="Connettore 2 9">
          <a:extLst>
            <a:ext uri="{FF2B5EF4-FFF2-40B4-BE49-F238E27FC236}">
              <a16:creationId xmlns:a16="http://schemas.microsoft.com/office/drawing/2014/main" id="{2F1E7E19-686F-4649-AD15-FA56B99BA06C}"/>
            </a:ext>
          </a:extLst>
        </xdr:cNvPr>
        <xdr:cNvCxnSpPr/>
      </xdr:nvCxnSpPr>
      <xdr:spPr>
        <a:xfrm>
          <a:off x="9797140" y="8316686"/>
          <a:ext cx="1034143" cy="0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485775</xdr:colOff>
      <xdr:row>34</xdr:row>
      <xdr:rowOff>171452</xdr:rowOff>
    </xdr:from>
    <xdr:to>
      <xdr:col>42</xdr:col>
      <xdr:colOff>57151</xdr:colOff>
      <xdr:row>42</xdr:row>
      <xdr:rowOff>85726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CFC3BCD6-C046-444C-AEF3-851AF473ED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29</xdr:col>
      <xdr:colOff>250372</xdr:colOff>
      <xdr:row>31</xdr:row>
      <xdr:rowOff>43543</xdr:rowOff>
    </xdr:from>
    <xdr:to>
      <xdr:col>30</xdr:col>
      <xdr:colOff>642257</xdr:colOff>
      <xdr:row>35</xdr:row>
      <xdr:rowOff>87086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F04D1D58-A135-4E04-B25F-FDD4C25693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31</xdr:col>
      <xdr:colOff>468086</xdr:colOff>
      <xdr:row>0</xdr:row>
      <xdr:rowOff>76200</xdr:rowOff>
    </xdr:from>
    <xdr:to>
      <xdr:col>32</xdr:col>
      <xdr:colOff>544287</xdr:colOff>
      <xdr:row>4</xdr:row>
      <xdr:rowOff>54428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9AF10E5-1552-4905-A11D-F2010F7F56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152401</xdr:colOff>
      <xdr:row>67</xdr:row>
      <xdr:rowOff>32657</xdr:rowOff>
    </xdr:from>
    <xdr:to>
      <xdr:col>26</xdr:col>
      <xdr:colOff>348342</xdr:colOff>
      <xdr:row>73</xdr:row>
      <xdr:rowOff>141515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4F33DE40-3BAB-4C52-95EA-B7109EF49F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522513</xdr:colOff>
      <xdr:row>81</xdr:row>
      <xdr:rowOff>32656</xdr:rowOff>
    </xdr:from>
    <xdr:to>
      <xdr:col>24</xdr:col>
      <xdr:colOff>685798</xdr:colOff>
      <xdr:row>89</xdr:row>
      <xdr:rowOff>141513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AA16E0D8-3051-4999-A80D-2A690E0B6D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34</xdr:col>
      <xdr:colOff>511629</xdr:colOff>
      <xdr:row>0</xdr:row>
      <xdr:rowOff>0</xdr:rowOff>
    </xdr:from>
    <xdr:to>
      <xdr:col>38</xdr:col>
      <xdr:colOff>141514</xdr:colOff>
      <xdr:row>1</xdr:row>
      <xdr:rowOff>152400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75D146B8-31F2-42CB-A21F-6F8B4F8C39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30</xdr:col>
      <xdr:colOff>228600</xdr:colOff>
      <xdr:row>51</xdr:row>
      <xdr:rowOff>54430</xdr:rowOff>
    </xdr:from>
    <xdr:to>
      <xdr:col>33</xdr:col>
      <xdr:colOff>163284</xdr:colOff>
      <xdr:row>58</xdr:row>
      <xdr:rowOff>152401</xdr:rowOff>
    </xdr:to>
    <xdr:graphicFrame macro="">
      <xdr:nvGraphicFramePr>
        <xdr:cNvPr id="23" name="Grafico 22">
          <a:extLst>
            <a:ext uri="{FF2B5EF4-FFF2-40B4-BE49-F238E27FC236}">
              <a16:creationId xmlns:a16="http://schemas.microsoft.com/office/drawing/2014/main" id="{C281FEB1-0E86-4196-987F-0A8B8A3BCE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46</xdr:col>
      <xdr:colOff>97971</xdr:colOff>
      <xdr:row>15</xdr:row>
      <xdr:rowOff>21772</xdr:rowOff>
    </xdr:from>
    <xdr:to>
      <xdr:col>46</xdr:col>
      <xdr:colOff>522513</xdr:colOff>
      <xdr:row>17</xdr:row>
      <xdr:rowOff>21772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C2B3F390-C360-4785-B503-B0E8912F27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46</xdr:col>
      <xdr:colOff>54429</xdr:colOff>
      <xdr:row>22</xdr:row>
      <xdr:rowOff>152400</xdr:rowOff>
    </xdr:from>
    <xdr:to>
      <xdr:col>47</xdr:col>
      <xdr:colOff>380999</xdr:colOff>
      <xdr:row>26</xdr:row>
      <xdr:rowOff>185058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4DC1E72B-2F02-458E-95DF-284A15BFFB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42</xdr:col>
      <xdr:colOff>500742</xdr:colOff>
      <xdr:row>26</xdr:row>
      <xdr:rowOff>87085</xdr:rowOff>
    </xdr:from>
    <xdr:to>
      <xdr:col>44</xdr:col>
      <xdr:colOff>478970</xdr:colOff>
      <xdr:row>31</xdr:row>
      <xdr:rowOff>119742</xdr:rowOff>
    </xdr:to>
    <xdr:graphicFrame macro="">
      <xdr:nvGraphicFramePr>
        <xdr:cNvPr id="24" name="Grafico 23">
          <a:extLst>
            <a:ext uri="{FF2B5EF4-FFF2-40B4-BE49-F238E27FC236}">
              <a16:creationId xmlns:a16="http://schemas.microsoft.com/office/drawing/2014/main" id="{5F799688-8C6A-4CE4-87F1-39BD236F2F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39</xdr:col>
      <xdr:colOff>141514</xdr:colOff>
      <xdr:row>2</xdr:row>
      <xdr:rowOff>21772</xdr:rowOff>
    </xdr:from>
    <xdr:to>
      <xdr:col>40</xdr:col>
      <xdr:colOff>435428</xdr:colOff>
      <xdr:row>6</xdr:row>
      <xdr:rowOff>76201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AB7F0506-CD05-4E8F-BAB8-5752A646C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40</xdr:col>
      <xdr:colOff>195941</xdr:colOff>
      <xdr:row>2</xdr:row>
      <xdr:rowOff>7256</xdr:rowOff>
    </xdr:from>
    <xdr:to>
      <xdr:col>42</xdr:col>
      <xdr:colOff>220978</xdr:colOff>
      <xdr:row>7</xdr:row>
      <xdr:rowOff>130629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EFAF391D-C454-474B-9162-697B5446B4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29</xdr:col>
      <xdr:colOff>87086</xdr:colOff>
      <xdr:row>0</xdr:row>
      <xdr:rowOff>0</xdr:rowOff>
    </xdr:from>
    <xdr:to>
      <xdr:col>30</xdr:col>
      <xdr:colOff>552995</xdr:colOff>
      <xdr:row>4</xdr:row>
      <xdr:rowOff>97971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9F556AEE-EF8C-4C73-A431-C81D6304D4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20</xdr:col>
      <xdr:colOff>261257</xdr:colOff>
      <xdr:row>12</xdr:row>
      <xdr:rowOff>185055</xdr:rowOff>
    </xdr:from>
    <xdr:to>
      <xdr:col>21</xdr:col>
      <xdr:colOff>990600</xdr:colOff>
      <xdr:row>18</xdr:row>
      <xdr:rowOff>21772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D5CB8EB7-C446-419F-BBED-5042782A96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215810</xdr:colOff>
      <xdr:row>55</xdr:row>
      <xdr:rowOff>152400</xdr:rowOff>
    </xdr:from>
    <xdr:to>
      <xdr:col>13</xdr:col>
      <xdr:colOff>673012</xdr:colOff>
      <xdr:row>73</xdr:row>
      <xdr:rowOff>134439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07C2944B-1EFF-4DFC-85D7-5D53163FA6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388619</xdr:colOff>
      <xdr:row>20</xdr:row>
      <xdr:rowOff>45374</xdr:rowOff>
    </xdr:from>
    <xdr:to>
      <xdr:col>5</xdr:col>
      <xdr:colOff>424834</xdr:colOff>
      <xdr:row>38</xdr:row>
      <xdr:rowOff>175260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30D8888-AACC-4D08-A0E0-B9F0D515D9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839" t="13576" r="9905" b="4563"/>
        <a:stretch/>
      </xdr:blipFill>
      <xdr:spPr>
        <a:xfrm>
          <a:off x="998219" y="3885854"/>
          <a:ext cx="3739535" cy="34217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watch?v=mz9_5MYXDw0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youtube.com/watch?v=mz9_5MYXDw0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9014-D34B-4E30-8F3D-ED329835FEAC}">
  <dimension ref="A1:AB69"/>
  <sheetViews>
    <sheetView topLeftCell="C10" zoomScale="80" zoomScaleNormal="80" workbookViewId="0">
      <selection activeCell="R22" sqref="R22"/>
    </sheetView>
  </sheetViews>
  <sheetFormatPr defaultRowHeight="14.4" x14ac:dyDescent="0.3"/>
  <cols>
    <col min="4" max="4" width="17.6640625" bestFit="1" customWidth="1"/>
    <col min="5" max="5" width="10.77734375" customWidth="1"/>
    <col min="6" max="6" width="13.33203125" bestFit="1" customWidth="1"/>
    <col min="8" max="8" width="9.88671875" bestFit="1" customWidth="1"/>
    <col min="9" max="9" width="16.21875" customWidth="1"/>
    <col min="10" max="10" width="10" bestFit="1" customWidth="1"/>
    <col min="11" max="11" width="14.44140625" bestFit="1" customWidth="1"/>
    <col min="12" max="12" width="11.109375" bestFit="1" customWidth="1"/>
    <col min="13" max="13" width="9.109375" bestFit="1" customWidth="1"/>
    <col min="14" max="14" width="12.6640625" bestFit="1" customWidth="1"/>
    <col min="15" max="15" width="15.44140625" bestFit="1" customWidth="1"/>
    <col min="16" max="16" width="12.6640625" bestFit="1" customWidth="1"/>
    <col min="17" max="17" width="11.5546875" bestFit="1" customWidth="1"/>
    <col min="18" max="18" width="13.109375" customWidth="1"/>
    <col min="19" max="19" width="6.5546875" bestFit="1" customWidth="1"/>
    <col min="20" max="20" width="14.5546875" bestFit="1" customWidth="1"/>
    <col min="21" max="21" width="14.5546875" customWidth="1"/>
    <col min="22" max="22" width="12" bestFit="1" customWidth="1"/>
    <col min="25" max="25" width="9.44140625" bestFit="1" customWidth="1"/>
    <col min="28" max="28" width="12" bestFit="1" customWidth="1"/>
    <col min="30" max="31" width="10.44140625" bestFit="1" customWidth="1"/>
    <col min="32" max="32" width="14.5546875" bestFit="1" customWidth="1"/>
  </cols>
  <sheetData>
    <row r="1" spans="1:28" x14ac:dyDescent="0.3">
      <c r="D1" s="494" t="s">
        <v>0</v>
      </c>
      <c r="E1" s="495"/>
      <c r="F1" s="495"/>
      <c r="G1" s="498"/>
      <c r="H1" s="1"/>
      <c r="I1" s="494" t="s">
        <v>32</v>
      </c>
      <c r="J1" s="495"/>
      <c r="K1" s="495"/>
      <c r="L1" s="495"/>
      <c r="M1" s="495"/>
      <c r="AB1" s="33" t="s">
        <v>1</v>
      </c>
    </row>
    <row r="2" spans="1:28" x14ac:dyDescent="0.3">
      <c r="D2" s="496"/>
      <c r="E2" s="497"/>
      <c r="F2" s="497"/>
      <c r="G2" s="499"/>
      <c r="H2" s="1"/>
      <c r="I2" s="496"/>
      <c r="J2" s="497"/>
      <c r="K2" s="497"/>
      <c r="L2" s="497"/>
      <c r="M2" s="497"/>
      <c r="R2" s="517">
        <f>6*F24/PI()/R10^3*LN(L9/F5)*1000^4*360/L12</f>
        <v>117057821045.44173</v>
      </c>
      <c r="S2" s="519" t="s">
        <v>54</v>
      </c>
    </row>
    <row r="3" spans="1:28" x14ac:dyDescent="0.3">
      <c r="D3" s="2" t="s">
        <v>12</v>
      </c>
      <c r="E3" s="28" t="s">
        <v>13</v>
      </c>
      <c r="F3" s="10"/>
      <c r="G3" s="3" t="s">
        <v>14</v>
      </c>
      <c r="H3" s="1"/>
      <c r="I3" s="500"/>
      <c r="J3" s="501"/>
      <c r="R3" s="518"/>
      <c r="S3" s="520"/>
    </row>
    <row r="4" spans="1:28" x14ac:dyDescent="0.3">
      <c r="A4" s="449" t="s">
        <v>45</v>
      </c>
      <c r="B4" s="449"/>
      <c r="D4" s="114" t="s">
        <v>15</v>
      </c>
      <c r="E4" s="115" t="s">
        <v>16</v>
      </c>
      <c r="F4" s="113">
        <v>100</v>
      </c>
      <c r="G4" s="113" t="s">
        <v>3</v>
      </c>
      <c r="H4" s="1"/>
      <c r="I4" s="459" t="s">
        <v>29</v>
      </c>
      <c r="J4" s="470"/>
      <c r="K4" s="28" t="s">
        <v>31</v>
      </c>
      <c r="L4" s="104">
        <v>100</v>
      </c>
      <c r="M4" s="3" t="s">
        <v>3</v>
      </c>
      <c r="N4" s="1"/>
      <c r="R4" s="518">
        <f>6*F24/PI()/R12^3*LN(L9/F5)*1000^4*360/L12</f>
        <v>117057821045.44173</v>
      </c>
      <c r="S4" s="520" t="s">
        <v>54</v>
      </c>
    </row>
    <row r="5" spans="1:28" x14ac:dyDescent="0.3">
      <c r="A5" s="450" t="s">
        <v>46</v>
      </c>
      <c r="B5" s="450"/>
      <c r="D5" s="116" t="s">
        <v>107</v>
      </c>
      <c r="E5" s="113" t="s">
        <v>108</v>
      </c>
      <c r="F5" s="113">
        <f>F4/2</f>
        <v>50</v>
      </c>
      <c r="G5" s="113" t="s">
        <v>3</v>
      </c>
      <c r="H5" s="1"/>
      <c r="I5" s="479" t="s">
        <v>40</v>
      </c>
      <c r="J5" s="480"/>
      <c r="K5" s="28" t="s">
        <v>30</v>
      </c>
      <c r="L5" s="57">
        <f>L13*L9</f>
        <v>66.758843888783105</v>
      </c>
      <c r="M5" s="3" t="str">
        <f>G6</f>
        <v>mm</v>
      </c>
      <c r="N5" s="1"/>
      <c r="R5" s="521"/>
      <c r="S5" s="522"/>
    </row>
    <row r="6" spans="1:28" x14ac:dyDescent="0.3">
      <c r="A6" s="451" t="s">
        <v>61</v>
      </c>
      <c r="B6" s="451"/>
      <c r="D6" s="114" t="s">
        <v>17</v>
      </c>
      <c r="E6" s="115" t="s">
        <v>18</v>
      </c>
      <c r="F6" s="113">
        <v>100</v>
      </c>
      <c r="G6" s="113" t="s">
        <v>3</v>
      </c>
      <c r="H6" s="1"/>
      <c r="I6" s="459" t="s">
        <v>41</v>
      </c>
      <c r="J6" s="470"/>
      <c r="K6" s="28" t="s">
        <v>42</v>
      </c>
      <c r="L6" s="6">
        <v>5</v>
      </c>
      <c r="M6" s="3" t="s">
        <v>3</v>
      </c>
      <c r="N6" s="1"/>
    </row>
    <row r="7" spans="1:28" x14ac:dyDescent="0.3">
      <c r="D7" s="114" t="s">
        <v>19</v>
      </c>
      <c r="E7" s="115"/>
      <c r="F7" s="113">
        <v>4</v>
      </c>
      <c r="G7" s="113"/>
      <c r="H7" s="1"/>
      <c r="I7" s="459"/>
      <c r="J7" s="470"/>
      <c r="K7" s="28" t="s">
        <v>43</v>
      </c>
      <c r="L7" s="6">
        <v>5</v>
      </c>
      <c r="M7" s="3" t="s">
        <v>3</v>
      </c>
    </row>
    <row r="8" spans="1:28" x14ac:dyDescent="0.3">
      <c r="D8" s="502" t="s">
        <v>4</v>
      </c>
      <c r="E8" s="469" t="s">
        <v>20</v>
      </c>
      <c r="F8" s="117">
        <v>300</v>
      </c>
      <c r="G8" s="113" t="s">
        <v>5</v>
      </c>
      <c r="H8" s="1"/>
      <c r="I8" s="459" t="s">
        <v>35</v>
      </c>
      <c r="J8" s="470"/>
      <c r="K8" s="28" t="s">
        <v>36</v>
      </c>
      <c r="L8" s="68">
        <f>15*R18</f>
        <v>0.44999999999999996</v>
      </c>
      <c r="M8" s="3" t="s">
        <v>3</v>
      </c>
    </row>
    <row r="9" spans="1:28" x14ac:dyDescent="0.3">
      <c r="D9" s="502"/>
      <c r="E9" s="469"/>
      <c r="F9" s="115">
        <f>F8/60*F10</f>
        <v>1.5707963267948966</v>
      </c>
      <c r="G9" s="113" t="s">
        <v>6</v>
      </c>
      <c r="H9" s="1"/>
      <c r="I9" s="459" t="s">
        <v>33</v>
      </c>
      <c r="J9" s="470"/>
      <c r="K9" s="28" t="s">
        <v>34</v>
      </c>
      <c r="L9" s="104">
        <v>51</v>
      </c>
      <c r="M9" s="3" t="s">
        <v>3</v>
      </c>
      <c r="R9" s="62">
        <f>R18</f>
        <v>0.03</v>
      </c>
      <c r="S9" s="64" t="s">
        <v>3</v>
      </c>
    </row>
    <row r="10" spans="1:28" ht="16.2" customHeight="1" x14ac:dyDescent="0.3">
      <c r="D10" s="36" t="s">
        <v>2</v>
      </c>
      <c r="E10" s="37"/>
      <c r="F10" s="38">
        <f>F4*PI()/1000</f>
        <v>0.31415926535897931</v>
      </c>
      <c r="G10" s="26" t="s">
        <v>8</v>
      </c>
      <c r="H10" s="1"/>
      <c r="I10" s="459" t="s">
        <v>198</v>
      </c>
      <c r="J10" s="470"/>
      <c r="K10" s="452" t="s">
        <v>200</v>
      </c>
      <c r="L10" s="57">
        <f>L5*L4-L4*L6-L5*L7</f>
        <v>5842.0901694343947</v>
      </c>
      <c r="M10" s="492" t="s">
        <v>56</v>
      </c>
      <c r="R10" s="25">
        <f>R9+R13</f>
        <v>0.03</v>
      </c>
      <c r="S10" s="65" t="s">
        <v>3</v>
      </c>
    </row>
    <row r="11" spans="1:28" s="95" customFormat="1" x14ac:dyDescent="0.3">
      <c r="D11" s="118"/>
      <c r="E11" s="118"/>
      <c r="F11" s="11"/>
      <c r="G11" s="94"/>
      <c r="H11" s="27"/>
      <c r="I11" s="459" t="s">
        <v>199</v>
      </c>
      <c r="J11" s="470"/>
      <c r="K11" s="452"/>
      <c r="L11" s="57">
        <f>L5*L4-L4*L6-L5*L7</f>
        <v>5842.0901694343947</v>
      </c>
      <c r="M11" s="492"/>
      <c r="R11" s="25"/>
      <c r="S11" s="97"/>
    </row>
    <row r="12" spans="1:28" x14ac:dyDescent="0.3">
      <c r="D12" s="5"/>
      <c r="E12" s="5"/>
      <c r="F12" s="5"/>
      <c r="G12" s="5"/>
      <c r="H12" s="1"/>
      <c r="I12" s="459" t="s">
        <v>37</v>
      </c>
      <c r="J12" s="470"/>
      <c r="K12" s="489"/>
      <c r="L12" s="58">
        <v>75</v>
      </c>
      <c r="M12" s="3" t="s">
        <v>38</v>
      </c>
      <c r="R12" s="25">
        <f>R9-R13</f>
        <v>0.03</v>
      </c>
      <c r="S12" s="65" t="s">
        <v>3</v>
      </c>
    </row>
    <row r="13" spans="1:28" x14ac:dyDescent="0.3">
      <c r="I13" s="460"/>
      <c r="J13" s="475"/>
      <c r="K13" s="490"/>
      <c r="L13" s="59">
        <f>L12/360*2*PI()</f>
        <v>1.3089969389957472</v>
      </c>
      <c r="M13" s="26" t="s">
        <v>39</v>
      </c>
      <c r="R13" s="63">
        <v>0</v>
      </c>
      <c r="S13" s="66" t="s">
        <v>3</v>
      </c>
    </row>
    <row r="14" spans="1:28" x14ac:dyDescent="0.3">
      <c r="D14" s="493" t="s">
        <v>7</v>
      </c>
      <c r="E14" s="493"/>
      <c r="F14" s="493">
        <f>9/1000</f>
        <v>8.9999999999999993E-3</v>
      </c>
      <c r="G14" s="493" t="s">
        <v>3</v>
      </c>
      <c r="O14" s="485"/>
      <c r="P14" s="485"/>
      <c r="Q14" s="485"/>
      <c r="R14" s="485"/>
      <c r="S14" s="485"/>
    </row>
    <row r="15" spans="1:28" x14ac:dyDescent="0.3">
      <c r="D15" s="493"/>
      <c r="E15" s="493"/>
      <c r="F15" s="493"/>
      <c r="G15" s="493"/>
      <c r="M15" s="19"/>
      <c r="X15" s="12"/>
      <c r="Y15" s="12"/>
      <c r="Z15" s="12"/>
      <c r="AA15" s="12"/>
    </row>
    <row r="16" spans="1:28" x14ac:dyDescent="0.3">
      <c r="D16" s="493"/>
      <c r="E16" s="493"/>
      <c r="F16" s="493"/>
      <c r="G16" s="493"/>
      <c r="I16" s="454" t="s">
        <v>57</v>
      </c>
      <c r="J16" s="455"/>
      <c r="K16" s="455"/>
      <c r="L16" s="456"/>
      <c r="O16" s="527" t="s">
        <v>150</v>
      </c>
      <c r="P16" s="528"/>
      <c r="Q16" s="528"/>
      <c r="R16" s="528"/>
      <c r="S16" s="529"/>
      <c r="X16" s="12"/>
      <c r="Y16" s="12"/>
      <c r="Z16" s="12"/>
      <c r="AA16" s="12"/>
    </row>
    <row r="17" spans="4:27" x14ac:dyDescent="0.3">
      <c r="D17" s="493"/>
      <c r="E17" s="493"/>
      <c r="F17" s="493"/>
      <c r="G17" s="493"/>
      <c r="I17" s="459" t="s">
        <v>58</v>
      </c>
      <c r="J17" s="452" t="s">
        <v>69</v>
      </c>
      <c r="K17" s="40">
        <f>K18*10^5</f>
        <v>5000000</v>
      </c>
      <c r="L17" s="41" t="s">
        <v>75</v>
      </c>
      <c r="O17" s="530"/>
      <c r="P17" s="531"/>
      <c r="Q17" s="531"/>
      <c r="R17" s="531"/>
      <c r="S17" s="532"/>
      <c r="X17" s="12"/>
      <c r="Y17" s="12"/>
      <c r="Z17" s="12"/>
      <c r="AA17" s="12"/>
    </row>
    <row r="18" spans="4:27" x14ac:dyDescent="0.3">
      <c r="F18" s="4"/>
      <c r="I18" s="459"/>
      <c r="J18" s="452"/>
      <c r="K18" s="28">
        <v>50</v>
      </c>
      <c r="L18" s="41" t="s">
        <v>76</v>
      </c>
      <c r="O18" s="459" t="s">
        <v>48</v>
      </c>
      <c r="P18" s="470"/>
      <c r="Q18" s="28" t="s">
        <v>44</v>
      </c>
      <c r="R18" s="52">
        <v>0.03</v>
      </c>
      <c r="S18" s="3" t="s">
        <v>3</v>
      </c>
      <c r="X18" s="12"/>
      <c r="Y18" s="12"/>
      <c r="Z18" s="12"/>
      <c r="AA18" s="12"/>
    </row>
    <row r="19" spans="4:27" x14ac:dyDescent="0.3">
      <c r="D19" s="461" t="s">
        <v>21</v>
      </c>
      <c r="E19" s="462"/>
      <c r="F19" s="462"/>
      <c r="G19" s="463"/>
      <c r="I19" s="473" t="s">
        <v>121</v>
      </c>
      <c r="J19" s="484" t="s">
        <v>70</v>
      </c>
      <c r="K19" s="44">
        <f>K17*(L33/(L33+L31))</f>
        <v>4849537.3515724884</v>
      </c>
      <c r="L19" s="60" t="s">
        <v>75</v>
      </c>
      <c r="O19" s="459" t="s">
        <v>59</v>
      </c>
      <c r="P19" s="470"/>
      <c r="Q19" s="28" t="s">
        <v>62</v>
      </c>
      <c r="R19" s="101">
        <f>R18+R21</f>
        <v>0.03</v>
      </c>
      <c r="S19" s="3" t="s">
        <v>3</v>
      </c>
    </row>
    <row r="20" spans="4:27" x14ac:dyDescent="0.3">
      <c r="D20" s="464" t="s">
        <v>192</v>
      </c>
      <c r="E20" s="465"/>
      <c r="F20" s="465"/>
      <c r="G20" s="466"/>
      <c r="I20" s="460"/>
      <c r="J20" s="483"/>
      <c r="K20" s="102">
        <f>K19/10^5</f>
        <v>48.495373515724886</v>
      </c>
      <c r="L20" s="103" t="s">
        <v>76</v>
      </c>
      <c r="O20" s="459" t="s">
        <v>60</v>
      </c>
      <c r="P20" s="470"/>
      <c r="Q20" s="28" t="s">
        <v>63</v>
      </c>
      <c r="R20" s="101">
        <f>R18-R21</f>
        <v>0.03</v>
      </c>
      <c r="S20" s="3" t="s">
        <v>3</v>
      </c>
    </row>
    <row r="21" spans="4:27" x14ac:dyDescent="0.3">
      <c r="D21" s="13" t="s">
        <v>12</v>
      </c>
      <c r="E21" s="28" t="s">
        <v>13</v>
      </c>
      <c r="F21" s="10"/>
      <c r="G21" s="3"/>
      <c r="I21" s="459" t="s">
        <v>122</v>
      </c>
      <c r="J21" s="452" t="s">
        <v>71</v>
      </c>
      <c r="K21" s="40">
        <f>K17*(L35/(L35+L31))</f>
        <v>4849537.3515724884</v>
      </c>
      <c r="L21" s="48" t="s">
        <v>75</v>
      </c>
      <c r="O21" s="533" t="s">
        <v>164</v>
      </c>
      <c r="P21" s="534"/>
      <c r="Q21" s="71" t="s">
        <v>68</v>
      </c>
      <c r="R21" s="71">
        <v>0</v>
      </c>
      <c r="S21" s="70" t="s">
        <v>3</v>
      </c>
    </row>
    <row r="22" spans="4:27" x14ac:dyDescent="0.3">
      <c r="D22" s="14" t="s">
        <v>10</v>
      </c>
      <c r="E22" s="28" t="s">
        <v>9</v>
      </c>
      <c r="F22" s="28">
        <v>20</v>
      </c>
      <c r="G22" s="3" t="s">
        <v>24</v>
      </c>
      <c r="I22" s="459"/>
      <c r="J22" s="452"/>
      <c r="K22" s="57">
        <f>K21/10^5</f>
        <v>48.495373515724886</v>
      </c>
      <c r="L22" s="48" t="s">
        <v>76</v>
      </c>
      <c r="U22" s="19"/>
    </row>
    <row r="23" spans="4:27" ht="16.2" customHeight="1" x14ac:dyDescent="0.3">
      <c r="D23" s="14" t="s">
        <v>11</v>
      </c>
      <c r="E23" s="29" t="s">
        <v>26</v>
      </c>
      <c r="F23" s="35">
        <v>841.3</v>
      </c>
      <c r="G23" s="3" t="s">
        <v>27</v>
      </c>
      <c r="I23" s="473" t="s">
        <v>80</v>
      </c>
      <c r="J23" s="484" t="s">
        <v>81</v>
      </c>
      <c r="K23" s="44">
        <f>-K17*(((L33)/(L33+L31))-(L35/(L35+L31)))</f>
        <v>0</v>
      </c>
      <c r="L23" s="60" t="s">
        <v>75</v>
      </c>
      <c r="U23" s="19"/>
      <c r="V23" s="516"/>
      <c r="W23" s="452"/>
      <c r="X23" s="12"/>
      <c r="Y23" s="12"/>
      <c r="Z23" s="12"/>
      <c r="AA23" s="12"/>
    </row>
    <row r="24" spans="4:27" x14ac:dyDescent="0.3">
      <c r="D24" s="459" t="s">
        <v>28</v>
      </c>
      <c r="E24" s="457" t="s">
        <v>25</v>
      </c>
      <c r="F24" s="6">
        <v>1.7410000000000001E-5</v>
      </c>
      <c r="G24" s="3" t="s">
        <v>53</v>
      </c>
      <c r="I24" s="460"/>
      <c r="J24" s="483"/>
      <c r="K24" s="102">
        <f>K23/10^5</f>
        <v>0</v>
      </c>
      <c r="L24" s="103" t="s">
        <v>76</v>
      </c>
      <c r="V24" s="516"/>
      <c r="W24" s="452"/>
      <c r="X24" s="12"/>
      <c r="Y24" s="12"/>
      <c r="Z24" s="12"/>
      <c r="AA24" s="12"/>
    </row>
    <row r="25" spans="4:27" ht="16.2" customHeight="1" x14ac:dyDescent="0.3">
      <c r="D25" s="460"/>
      <c r="E25" s="458"/>
      <c r="F25" s="39">
        <f>F24*1000</f>
        <v>1.7410000000000002E-2</v>
      </c>
      <c r="G25" s="26" t="s">
        <v>23</v>
      </c>
      <c r="I25" s="459" t="s">
        <v>78</v>
      </c>
      <c r="J25" s="452" t="s">
        <v>79</v>
      </c>
      <c r="K25" s="28">
        <v>101325</v>
      </c>
      <c r="L25" s="3" t="s">
        <v>75</v>
      </c>
      <c r="U25" s="19"/>
      <c r="X25" s="12"/>
      <c r="Y25" s="12"/>
      <c r="Z25" s="12"/>
      <c r="AA25" s="12"/>
    </row>
    <row r="26" spans="4:27" x14ac:dyDescent="0.3">
      <c r="I26" s="460"/>
      <c r="J26" s="483"/>
      <c r="K26" s="42">
        <v>1.01325</v>
      </c>
      <c r="L26" s="26" t="s">
        <v>76</v>
      </c>
      <c r="X26" s="12"/>
      <c r="Y26" s="12"/>
      <c r="Z26" s="12"/>
      <c r="AA26" s="12"/>
    </row>
    <row r="27" spans="4:27" x14ac:dyDescent="0.3">
      <c r="X27" s="12"/>
      <c r="Y27" s="12"/>
      <c r="Z27" s="12"/>
      <c r="AA27" s="12"/>
    </row>
    <row r="28" spans="4:27" x14ac:dyDescent="0.3">
      <c r="D28" s="454" t="s">
        <v>72</v>
      </c>
      <c r="E28" s="455"/>
      <c r="F28" s="455"/>
      <c r="G28" s="456"/>
      <c r="I28" s="476" t="s">
        <v>50</v>
      </c>
      <c r="J28" s="477"/>
      <c r="K28" s="477"/>
      <c r="L28" s="477"/>
      <c r="M28" s="478"/>
      <c r="O28" s="476" t="s">
        <v>167</v>
      </c>
      <c r="P28" s="477"/>
      <c r="Q28" s="477"/>
      <c r="R28" s="477"/>
      <c r="S28" s="478"/>
      <c r="X28" s="12"/>
      <c r="Y28" s="12"/>
      <c r="Z28" s="12"/>
      <c r="AA28" s="12"/>
    </row>
    <row r="29" spans="4:27" ht="16.2" x14ac:dyDescent="0.3">
      <c r="D29" s="453" t="s">
        <v>109</v>
      </c>
      <c r="E29" s="452" t="s">
        <v>73</v>
      </c>
      <c r="F29" s="46">
        <f>(F31+F32)/100^3</f>
        <v>8.2857126644957782E-5</v>
      </c>
      <c r="G29" s="3" t="s">
        <v>74</v>
      </c>
      <c r="I29" s="479" t="s">
        <v>51</v>
      </c>
      <c r="J29" s="480"/>
      <c r="K29" s="28" t="s">
        <v>77</v>
      </c>
      <c r="L29" s="6">
        <v>200</v>
      </c>
      <c r="M29" s="3" t="s">
        <v>3</v>
      </c>
      <c r="O29" s="30" t="s">
        <v>92</v>
      </c>
      <c r="P29" s="34"/>
      <c r="Q29" s="28" t="s">
        <v>168</v>
      </c>
      <c r="R29" s="43">
        <f>K17/10^6*L10/(1+R32)</f>
        <v>28331.434487926548</v>
      </c>
      <c r="S29" s="3" t="s">
        <v>84</v>
      </c>
      <c r="T29" s="19"/>
      <c r="U29" s="19"/>
    </row>
    <row r="30" spans="4:27" ht="16.2" x14ac:dyDescent="0.3">
      <c r="D30" s="453"/>
      <c r="E30" s="452"/>
      <c r="F30" s="57">
        <f>F29*100^3</f>
        <v>82.857126644957788</v>
      </c>
      <c r="G30" s="3" t="s">
        <v>106</v>
      </c>
      <c r="I30" s="479" t="s">
        <v>95</v>
      </c>
      <c r="J30" s="480"/>
      <c r="K30" s="28" t="s">
        <v>52</v>
      </c>
      <c r="L30" s="6">
        <v>2.5</v>
      </c>
      <c r="M30" s="3" t="s">
        <v>3</v>
      </c>
      <c r="N30" s="19"/>
      <c r="O30" s="524"/>
      <c r="P30" s="525"/>
      <c r="Q30" s="525"/>
      <c r="R30" s="525"/>
      <c r="S30" s="526"/>
    </row>
    <row r="31" spans="4:27" ht="16.2" customHeight="1" x14ac:dyDescent="0.3">
      <c r="D31" s="15" t="s">
        <v>118</v>
      </c>
      <c r="E31" s="28" t="s">
        <v>117</v>
      </c>
      <c r="F31" s="57">
        <f>(K17-K19)/L31*10^6</f>
        <v>41.428563322478894</v>
      </c>
      <c r="G31" s="3" t="s">
        <v>106</v>
      </c>
      <c r="I31" s="481" t="s">
        <v>47</v>
      </c>
      <c r="J31" s="482"/>
      <c r="K31" s="452" t="s">
        <v>49</v>
      </c>
      <c r="L31" s="491">
        <f>8*F24*L29/(PI()*(L30/2)^4)*1000^4</f>
        <v>3631857741.633812</v>
      </c>
      <c r="M31" s="492" t="s">
        <v>54</v>
      </c>
      <c r="N31" s="19"/>
      <c r="O31" s="487" t="s">
        <v>165</v>
      </c>
      <c r="P31" s="76" t="s">
        <v>83</v>
      </c>
      <c r="Q31" s="77" t="s">
        <v>88</v>
      </c>
      <c r="R31" s="78">
        <f>K17/10^6*L10/(1+R32*R33^3)</f>
        <v>28331.434487926548</v>
      </c>
      <c r="S31" s="79" t="s">
        <v>84</v>
      </c>
      <c r="T31" s="20">
        <f>L10*K19/10^6</f>
        <v>28331.434487926545</v>
      </c>
      <c r="W31" s="7"/>
      <c r="X31" s="7"/>
      <c r="Y31" s="7"/>
      <c r="Z31" s="7"/>
    </row>
    <row r="32" spans="4:27" ht="16.2" x14ac:dyDescent="0.3">
      <c r="D32" s="15" t="s">
        <v>119</v>
      </c>
      <c r="E32" s="28" t="s">
        <v>120</v>
      </c>
      <c r="F32" s="57">
        <f>(K17-K21)/L31*10^6</f>
        <v>41.428563322478894</v>
      </c>
      <c r="G32" s="3" t="s">
        <v>106</v>
      </c>
      <c r="I32" s="481"/>
      <c r="J32" s="482"/>
      <c r="K32" s="452"/>
      <c r="L32" s="491"/>
      <c r="M32" s="492"/>
      <c r="O32" s="488"/>
      <c r="P32" s="50" t="s">
        <v>96</v>
      </c>
      <c r="Q32" s="29" t="s">
        <v>85</v>
      </c>
      <c r="R32" s="43">
        <f>L31/R2</f>
        <v>3.1026186112108892E-2</v>
      </c>
      <c r="S32" s="3"/>
      <c r="T32" s="20"/>
      <c r="W32" s="7"/>
    </row>
    <row r="33" spans="4:26" ht="14.4" customHeight="1" x14ac:dyDescent="0.3">
      <c r="D33" s="15"/>
      <c r="E33" s="10"/>
      <c r="F33" s="10"/>
      <c r="G33" s="16"/>
      <c r="I33" s="473" t="s">
        <v>67</v>
      </c>
      <c r="J33" s="474"/>
      <c r="K33" s="484" t="s">
        <v>64</v>
      </c>
      <c r="L33" s="471">
        <f>6*F24/PI()/R19^3*LN(L9/F5)*1000^4*360/L12</f>
        <v>117057821045.44173</v>
      </c>
      <c r="M33" s="467" t="s">
        <v>54</v>
      </c>
      <c r="N33" s="486">
        <f>6*F25/(R19/1000)^3/(L4/L6+L5/L7-3)</f>
        <v>127468317158.64337</v>
      </c>
      <c r="O33" s="488"/>
      <c r="P33" s="50" t="s">
        <v>86</v>
      </c>
      <c r="Q33" s="28" t="s">
        <v>87</v>
      </c>
      <c r="R33" s="43">
        <f>R19/R18</f>
        <v>1</v>
      </c>
      <c r="S33" s="3"/>
      <c r="T33" s="20"/>
      <c r="W33" s="7"/>
    </row>
    <row r="34" spans="4:26" ht="16.2" x14ac:dyDescent="0.3">
      <c r="D34" s="514" t="s">
        <v>125</v>
      </c>
      <c r="E34" s="452" t="s">
        <v>123</v>
      </c>
      <c r="F34" s="46">
        <f>(K19-K25)/L33</f>
        <v>4.056296545729514E-5</v>
      </c>
      <c r="G34" s="3" t="s">
        <v>74</v>
      </c>
      <c r="I34" s="460"/>
      <c r="J34" s="475"/>
      <c r="K34" s="483"/>
      <c r="L34" s="472"/>
      <c r="M34" s="468"/>
      <c r="N34" s="486"/>
      <c r="O34" s="487" t="s">
        <v>166</v>
      </c>
      <c r="P34" s="76" t="s">
        <v>83</v>
      </c>
      <c r="Q34" s="77" t="s">
        <v>172</v>
      </c>
      <c r="R34" s="78">
        <f>K17/10^6*L10/(1+R35*R36^3)</f>
        <v>28331.434487926548</v>
      </c>
      <c r="S34" s="79" t="s">
        <v>84</v>
      </c>
      <c r="T34" s="20"/>
      <c r="W34" s="7"/>
    </row>
    <row r="35" spans="4:26" ht="16.2" x14ac:dyDescent="0.3">
      <c r="D35" s="514"/>
      <c r="E35" s="452"/>
      <c r="F35" s="57">
        <f>F34*100^3</f>
        <v>40.562965457295142</v>
      </c>
      <c r="G35" s="3" t="s">
        <v>106</v>
      </c>
      <c r="I35" s="473" t="s">
        <v>66</v>
      </c>
      <c r="J35" s="474"/>
      <c r="K35" s="484" t="s">
        <v>65</v>
      </c>
      <c r="L35" s="471">
        <f>6*F24/PI()/R20^3*LN(L9/F5)*1000^4*360/L12</f>
        <v>117057821045.44173</v>
      </c>
      <c r="M35" s="467" t="s">
        <v>54</v>
      </c>
      <c r="N35" s="19"/>
      <c r="O35" s="488"/>
      <c r="P35" s="50" t="s">
        <v>96</v>
      </c>
      <c r="Q35" s="29" t="s">
        <v>85</v>
      </c>
      <c r="R35" s="43">
        <f>L31/R4</f>
        <v>3.1026186112108892E-2</v>
      </c>
      <c r="S35" s="3"/>
      <c r="T35" s="19"/>
      <c r="U35" s="19"/>
      <c r="V35" s="7"/>
      <c r="W35" s="7"/>
    </row>
    <row r="36" spans="4:26" ht="16.2" x14ac:dyDescent="0.3">
      <c r="D36" s="514"/>
      <c r="E36" s="452" t="s">
        <v>124</v>
      </c>
      <c r="F36" s="46">
        <f>(K21-K25)/L35</f>
        <v>4.056296545729514E-5</v>
      </c>
      <c r="G36" s="3" t="s">
        <v>74</v>
      </c>
      <c r="I36" s="460"/>
      <c r="J36" s="475"/>
      <c r="K36" s="483"/>
      <c r="L36" s="472"/>
      <c r="M36" s="468"/>
      <c r="O36" s="523"/>
      <c r="P36" s="51" t="s">
        <v>86</v>
      </c>
      <c r="Q36" s="42" t="s">
        <v>87</v>
      </c>
      <c r="R36" s="45">
        <f>R20/R18</f>
        <v>1</v>
      </c>
      <c r="S36" s="26"/>
      <c r="T36" s="20"/>
      <c r="U36" s="20"/>
      <c r="V36" s="7"/>
      <c r="W36" s="7"/>
    </row>
    <row r="37" spans="4:26" ht="16.2" x14ac:dyDescent="0.3">
      <c r="D37" s="545"/>
      <c r="E37" s="483"/>
      <c r="F37" s="102">
        <f>F36*100^3</f>
        <v>40.562965457295142</v>
      </c>
      <c r="G37" s="26" t="s">
        <v>106</v>
      </c>
      <c r="L37">
        <f>6*F25/(R18/1000)^3/(L4/L6+L5/L7-3)</f>
        <v>127468317158.64337</v>
      </c>
      <c r="O37" s="538" t="s">
        <v>169</v>
      </c>
      <c r="P37" s="539"/>
      <c r="Q37" s="80" t="s">
        <v>82</v>
      </c>
      <c r="R37" s="88">
        <f>IMABS(R34-R31)</f>
        <v>0</v>
      </c>
      <c r="S37" s="81" t="s">
        <v>84</v>
      </c>
      <c r="U37" s="20"/>
    </row>
    <row r="38" spans="4:26" x14ac:dyDescent="0.3">
      <c r="U38" s="19"/>
      <c r="V38" s="7"/>
      <c r="W38" s="7"/>
      <c r="X38" s="7"/>
      <c r="Y38" s="7"/>
      <c r="Z38" s="7"/>
    </row>
    <row r="39" spans="4:26" x14ac:dyDescent="0.3">
      <c r="D39" s="8" t="s">
        <v>103</v>
      </c>
      <c r="E39" s="21" t="s">
        <v>104</v>
      </c>
      <c r="F39" s="18">
        <f>K17*F29</f>
        <v>414.28563322478891</v>
      </c>
      <c r="G39" s="9" t="s">
        <v>82</v>
      </c>
      <c r="U39" s="20"/>
    </row>
    <row r="40" spans="4:26" x14ac:dyDescent="0.3">
      <c r="D40" s="32" t="s">
        <v>126</v>
      </c>
      <c r="E40" s="75" t="s">
        <v>127</v>
      </c>
      <c r="F40" s="107">
        <f>41.1*SQRT(F4/2/R18)*F25/F23/(R18/1000)/PI()/(F4/1000)</f>
        <v>3684.1979068079718</v>
      </c>
      <c r="G40" s="75" t="s">
        <v>5</v>
      </c>
      <c r="I40" s="503" t="s">
        <v>97</v>
      </c>
      <c r="J40" s="504"/>
      <c r="K40" s="504"/>
      <c r="L40" s="504"/>
      <c r="M40" s="505"/>
      <c r="O40" s="509" t="s">
        <v>89</v>
      </c>
      <c r="P40" s="510"/>
      <c r="Q40" s="510"/>
      <c r="R40" s="510"/>
      <c r="S40" s="511"/>
      <c r="T40" s="19"/>
    </row>
    <row r="41" spans="4:26" x14ac:dyDescent="0.3">
      <c r="I41" s="32" t="s">
        <v>98</v>
      </c>
      <c r="J41" s="32"/>
      <c r="K41" s="32"/>
      <c r="L41" s="32"/>
      <c r="M41" s="32"/>
      <c r="O41" s="512" t="s">
        <v>91</v>
      </c>
      <c r="P41" s="513"/>
      <c r="Q41" s="484" t="s">
        <v>90</v>
      </c>
      <c r="R41" s="82">
        <f>3*R29/R18*R32/(1+R32)</f>
        <v>85256.453336079445</v>
      </c>
      <c r="S41" s="24" t="s">
        <v>93</v>
      </c>
      <c r="T41" s="19"/>
    </row>
    <row r="42" spans="4:26" x14ac:dyDescent="0.3">
      <c r="I42" s="506" t="s">
        <v>101</v>
      </c>
      <c r="J42" s="506"/>
      <c r="K42" s="75" t="s">
        <v>102</v>
      </c>
      <c r="L42" s="75">
        <f>0.7925-1.1005/EXP(L5/L4)+0.0216/(L5/L4)+0.0153*L5/L4</f>
        <v>0.2705744030105306</v>
      </c>
      <c r="M42" s="32"/>
      <c r="O42" s="514"/>
      <c r="P42" s="515"/>
      <c r="Q42" s="452"/>
      <c r="R42" s="43">
        <f>R41/1000</f>
        <v>85.256453336079446</v>
      </c>
      <c r="S42" s="3" t="s">
        <v>94</v>
      </c>
      <c r="V42" s="20"/>
    </row>
    <row r="43" spans="4:26" x14ac:dyDescent="0.3">
      <c r="I43" s="508" t="s">
        <v>99</v>
      </c>
      <c r="J43" s="508"/>
      <c r="K43" s="75" t="s">
        <v>100</v>
      </c>
      <c r="L43" s="75">
        <f>L42*F24*L4^3*L5/R19^3/10^6</f>
        <v>11.647441100023444</v>
      </c>
      <c r="M43" s="507" t="s">
        <v>22</v>
      </c>
      <c r="O43" s="487" t="s">
        <v>165</v>
      </c>
      <c r="P43" s="513" t="s">
        <v>89</v>
      </c>
      <c r="Q43" s="484" t="s">
        <v>170</v>
      </c>
      <c r="R43" s="49">
        <f>3*R29/R18*((R32*(1+R32)*R33^2)/(1+R32*R33^3)^2)</f>
        <v>85256.453336079445</v>
      </c>
      <c r="S43" s="24" t="s">
        <v>93</v>
      </c>
      <c r="T43" s="85">
        <f>3*K17/10^6*L10*R18^3*((R20^2)/(R20^3+R18^3)^2+(R19^2)/(R19^3+R18^3)^2)</f>
        <v>1460522.5423585987</v>
      </c>
      <c r="U43" s="20"/>
      <c r="V43" s="7"/>
      <c r="W43" s="7"/>
      <c r="X43" s="7"/>
    </row>
    <row r="44" spans="4:26" x14ac:dyDescent="0.3">
      <c r="D44" s="541" t="s">
        <v>114</v>
      </c>
      <c r="E44" s="542"/>
      <c r="F44" s="542"/>
      <c r="G44" s="543"/>
      <c r="I44" s="508"/>
      <c r="J44" s="508"/>
      <c r="K44" s="75" t="s">
        <v>105</v>
      </c>
      <c r="L44" s="75">
        <f>2*F24*(L4+L5-L6-L7)*L6^3/R19^3/10^6</f>
        <v>2.5270106223182539E-2</v>
      </c>
      <c r="M44" s="507"/>
      <c r="O44" s="523"/>
      <c r="P44" s="540"/>
      <c r="Q44" s="483"/>
      <c r="R44" s="83">
        <f>R43/1000</f>
        <v>85.256453336079446</v>
      </c>
      <c r="S44" s="84" t="s">
        <v>94</v>
      </c>
      <c r="T44" s="86">
        <f>T43/1000</f>
        <v>1460.5225423585987</v>
      </c>
      <c r="U44" s="20"/>
      <c r="V44" s="7"/>
      <c r="W44" s="7"/>
      <c r="X44" s="7"/>
    </row>
    <row r="45" spans="4:26" x14ac:dyDescent="0.3">
      <c r="D45" s="535" t="s">
        <v>112</v>
      </c>
      <c r="E45" s="535" t="s">
        <v>110</v>
      </c>
      <c r="F45" s="536">
        <f>F34/F23/(L4*R19)*1000^2</f>
        <v>1.6071542239112144E-2</v>
      </c>
      <c r="G45" s="535" t="s">
        <v>6</v>
      </c>
      <c r="H45" s="19"/>
      <c r="I45" s="508"/>
      <c r="J45" s="508"/>
      <c r="K45" s="75"/>
      <c r="L45" s="75">
        <f>(3*PI()*F24*(L9^2-F5^2)^2)/2/R19^3/10^6</f>
        <v>3.0996944540993426E-2</v>
      </c>
      <c r="M45" s="507"/>
      <c r="O45" s="488" t="s">
        <v>166</v>
      </c>
      <c r="P45" s="515" t="s">
        <v>89</v>
      </c>
      <c r="Q45" s="452" t="s">
        <v>171</v>
      </c>
      <c r="R45" s="28">
        <f>3*R34/R18*((R35*(1+R35)*R36^2)/(1+R35*R36^3)^2)</f>
        <v>85256.453336079445</v>
      </c>
      <c r="S45" s="3" t="s">
        <v>93</v>
      </c>
    </row>
    <row r="46" spans="4:26" x14ac:dyDescent="0.3">
      <c r="D46" s="535"/>
      <c r="E46" s="535"/>
      <c r="F46" s="536"/>
      <c r="G46" s="535"/>
      <c r="H46" s="20"/>
      <c r="I46" s="32"/>
      <c r="J46" s="32"/>
      <c r="K46" s="32"/>
      <c r="L46" s="32"/>
      <c r="M46" s="32"/>
      <c r="O46" s="523"/>
      <c r="P46" s="540"/>
      <c r="Q46" s="483"/>
      <c r="R46" s="83">
        <f>R45/1000</f>
        <v>85.256453336079446</v>
      </c>
      <c r="S46" s="84" t="s">
        <v>94</v>
      </c>
    </row>
    <row r="47" spans="4:26" x14ac:dyDescent="0.3">
      <c r="D47" s="535" t="s">
        <v>113</v>
      </c>
      <c r="E47" s="535" t="s">
        <v>111</v>
      </c>
      <c r="F47" s="536">
        <f>F36/F23/(L4*R19)*1000^2</f>
        <v>1.6071542239112144E-2</v>
      </c>
      <c r="G47" s="535" t="s">
        <v>6</v>
      </c>
      <c r="I47" s="32"/>
      <c r="J47" s="32"/>
      <c r="K47" s="32"/>
      <c r="L47" s="32">
        <f>(3*PI()*F25*((F5/1000)^2-(L9/1000)^2)^2)/(2*(R18/1000)^3)</f>
        <v>30996.944540992874</v>
      </c>
      <c r="M47" s="32"/>
    </row>
    <row r="48" spans="4:26" x14ac:dyDescent="0.3">
      <c r="D48" s="535"/>
      <c r="E48" s="535"/>
      <c r="F48" s="536"/>
      <c r="G48" s="535"/>
      <c r="I48" s="32"/>
      <c r="J48" s="32"/>
      <c r="K48" s="32"/>
      <c r="L48" s="32"/>
      <c r="M48" s="32"/>
    </row>
    <row r="49" spans="4:13" x14ac:dyDescent="0.3">
      <c r="D49" s="72"/>
      <c r="E49" s="73" t="s">
        <v>115</v>
      </c>
      <c r="F49" s="74">
        <f>F23*F45*F51/F25</f>
        <v>4.6576387724032914E-2</v>
      </c>
      <c r="G49" s="72"/>
      <c r="I49" s="32"/>
      <c r="J49" s="32"/>
      <c r="K49" s="32"/>
      <c r="L49" s="32">
        <f>(3*PI()*F25*((F5/1000)^2-(L9/1000)^2)^2)/(2*(R18/1000)^3)</f>
        <v>30996.944540992874</v>
      </c>
      <c r="M49" s="32"/>
    </row>
    <row r="50" spans="4:13" x14ac:dyDescent="0.3">
      <c r="D50" s="72"/>
      <c r="E50" s="73" t="s">
        <v>116</v>
      </c>
      <c r="F50" s="74">
        <f>F23*F47*F52/F25</f>
        <v>4.6576387724032914E-2</v>
      </c>
      <c r="G50" s="72"/>
    </row>
    <row r="51" spans="4:13" x14ac:dyDescent="0.3">
      <c r="E51" t="s">
        <v>195</v>
      </c>
      <c r="F51" s="108">
        <f>4*(R19/1000*L5/1000)/(2*(L5+R19)/1000)</f>
        <v>5.9973049391257648E-5</v>
      </c>
      <c r="G51" s="27" t="s">
        <v>8</v>
      </c>
    </row>
    <row r="52" spans="4:13" x14ac:dyDescent="0.3">
      <c r="E52" s="91" t="s">
        <v>196</v>
      </c>
      <c r="F52" s="108">
        <f>4*(R20/1000*L5/1000)/(2*(L5+R19)/1000)</f>
        <v>5.9973049391257648E-5</v>
      </c>
      <c r="G52" s="27" t="s">
        <v>8</v>
      </c>
    </row>
    <row r="56" spans="4:13" x14ac:dyDescent="0.3">
      <c r="I56" s="544"/>
      <c r="J56" s="544"/>
      <c r="K56" s="1"/>
      <c r="L56" s="1"/>
    </row>
    <row r="57" spans="4:13" x14ac:dyDescent="0.3">
      <c r="D57" s="537" t="s">
        <v>194</v>
      </c>
      <c r="E57" s="537"/>
      <c r="F57" s="537"/>
      <c r="I57" s="544"/>
      <c r="J57" s="544"/>
      <c r="K57" s="1"/>
      <c r="L57" s="1"/>
    </row>
    <row r="58" spans="4:13" x14ac:dyDescent="0.3">
      <c r="K58" s="1"/>
    </row>
    <row r="59" spans="4:13" x14ac:dyDescent="0.3">
      <c r="L59" s="1"/>
    </row>
    <row r="60" spans="4:13" x14ac:dyDescent="0.3">
      <c r="K60" s="1"/>
      <c r="L60" s="20"/>
    </row>
    <row r="61" spans="4:13" x14ac:dyDescent="0.3">
      <c r="K61" s="1"/>
      <c r="L61" s="1"/>
    </row>
    <row r="62" spans="4:13" x14ac:dyDescent="0.3">
      <c r="K62" s="1"/>
      <c r="L62" s="1"/>
    </row>
    <row r="69" spans="4:6" x14ac:dyDescent="0.3">
      <c r="D69" s="27"/>
      <c r="E69" s="108"/>
      <c r="F69" s="27"/>
    </row>
  </sheetData>
  <mergeCells count="103">
    <mergeCell ref="D47:D48"/>
    <mergeCell ref="E47:E48"/>
    <mergeCell ref="F47:F48"/>
    <mergeCell ref="G47:G48"/>
    <mergeCell ref="D57:F57"/>
    <mergeCell ref="O37:P37"/>
    <mergeCell ref="O45:O46"/>
    <mergeCell ref="P45:P46"/>
    <mergeCell ref="O43:O44"/>
    <mergeCell ref="P43:P44"/>
    <mergeCell ref="D44:G44"/>
    <mergeCell ref="E45:E46"/>
    <mergeCell ref="D45:D46"/>
    <mergeCell ref="F45:F46"/>
    <mergeCell ref="G45:G46"/>
    <mergeCell ref="I56:J56"/>
    <mergeCell ref="I57:J57"/>
    <mergeCell ref="D34:D37"/>
    <mergeCell ref="E34:E35"/>
    <mergeCell ref="E36:E37"/>
    <mergeCell ref="K35:K36"/>
    <mergeCell ref="I35:J36"/>
    <mergeCell ref="K33:K34"/>
    <mergeCell ref="L35:L36"/>
    <mergeCell ref="V23:V24"/>
    <mergeCell ref="W23:W24"/>
    <mergeCell ref="R2:R3"/>
    <mergeCell ref="S2:S3"/>
    <mergeCell ref="R4:R5"/>
    <mergeCell ref="S4:S5"/>
    <mergeCell ref="O34:O36"/>
    <mergeCell ref="O30:S30"/>
    <mergeCell ref="O20:P20"/>
    <mergeCell ref="O16:S17"/>
    <mergeCell ref="O21:P21"/>
    <mergeCell ref="O28:S28"/>
    <mergeCell ref="O19:P19"/>
    <mergeCell ref="Q45:Q46"/>
    <mergeCell ref="Q41:Q42"/>
    <mergeCell ref="I40:M40"/>
    <mergeCell ref="I42:J42"/>
    <mergeCell ref="Q43:Q44"/>
    <mergeCell ref="M43:M45"/>
    <mergeCell ref="I44:J44"/>
    <mergeCell ref="I45:J45"/>
    <mergeCell ref="I43:J43"/>
    <mergeCell ref="O40:S40"/>
    <mergeCell ref="O41:P42"/>
    <mergeCell ref="I25:I26"/>
    <mergeCell ref="D14:E17"/>
    <mergeCell ref="F14:F17"/>
    <mergeCell ref="G14:G17"/>
    <mergeCell ref="I16:L16"/>
    <mergeCell ref="I1:M2"/>
    <mergeCell ref="D1:G2"/>
    <mergeCell ref="I4:J4"/>
    <mergeCell ref="I9:J9"/>
    <mergeCell ref="I5:J5"/>
    <mergeCell ref="I3:J3"/>
    <mergeCell ref="I8:J8"/>
    <mergeCell ref="I6:J7"/>
    <mergeCell ref="D8:D9"/>
    <mergeCell ref="I17:I18"/>
    <mergeCell ref="J17:J18"/>
    <mergeCell ref="I19:I20"/>
    <mergeCell ref="I11:J11"/>
    <mergeCell ref="K10:K11"/>
    <mergeCell ref="M10:M11"/>
    <mergeCell ref="J19:J20"/>
    <mergeCell ref="M35:M36"/>
    <mergeCell ref="E8:E9"/>
    <mergeCell ref="K31:K32"/>
    <mergeCell ref="O18:P18"/>
    <mergeCell ref="L33:L34"/>
    <mergeCell ref="M33:M34"/>
    <mergeCell ref="I33:J34"/>
    <mergeCell ref="I10:J10"/>
    <mergeCell ref="I28:M28"/>
    <mergeCell ref="I30:J30"/>
    <mergeCell ref="I31:J32"/>
    <mergeCell ref="J25:J26"/>
    <mergeCell ref="I21:I22"/>
    <mergeCell ref="J21:J22"/>
    <mergeCell ref="I23:I24"/>
    <mergeCell ref="J23:J24"/>
    <mergeCell ref="O14:S14"/>
    <mergeCell ref="N33:N34"/>
    <mergeCell ref="O31:O33"/>
    <mergeCell ref="I12:J13"/>
    <mergeCell ref="K12:K13"/>
    <mergeCell ref="I29:J29"/>
    <mergeCell ref="L31:L32"/>
    <mergeCell ref="M31:M32"/>
    <mergeCell ref="A4:B4"/>
    <mergeCell ref="A5:B5"/>
    <mergeCell ref="A6:B6"/>
    <mergeCell ref="E29:E30"/>
    <mergeCell ref="D29:D30"/>
    <mergeCell ref="D28:G28"/>
    <mergeCell ref="E24:E25"/>
    <mergeCell ref="D24:D25"/>
    <mergeCell ref="D19:G19"/>
    <mergeCell ref="D20:G20"/>
  </mergeCells>
  <conditionalFormatting sqref="R9">
    <cfRule type="cellIs" dxfId="4" priority="2" operator="lessThan">
      <formula>$F$16</formula>
    </cfRule>
  </conditionalFormatting>
  <conditionalFormatting sqref="R18">
    <cfRule type="cellIs" dxfId="3" priority="1" operator="lessThan">
      <formula>$F$14</formula>
    </cfRule>
  </conditionalFormatting>
  <hyperlinks>
    <hyperlink ref="AB1" r:id="rId1" xr:uid="{06EAA51F-4633-43AE-9526-CFDDC6938E84}"/>
  </hyperlinks>
  <pageMargins left="0.7" right="0.7" top="0.75" bottom="0.75" header="0.3" footer="0.3"/>
  <pageSetup paperSize="9" orientation="portrait" horizontalDpi="4294967293" verticalDpi="4294967293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B0C11-B3C5-49D3-B9F7-E04AFEF40C5C}">
  <sheetPr>
    <tabColor theme="4" tint="0.59999389629810485"/>
  </sheetPr>
  <dimension ref="A1:BG557"/>
  <sheetViews>
    <sheetView tabSelected="1" topLeftCell="C1" zoomScale="70" zoomScaleNormal="70" workbookViewId="0">
      <selection activeCell="L30" sqref="L30"/>
    </sheetView>
  </sheetViews>
  <sheetFormatPr defaultRowHeight="14.4" x14ac:dyDescent="0.3"/>
  <cols>
    <col min="2" max="2" width="10" customWidth="1"/>
    <col min="4" max="4" width="17.6640625" bestFit="1" customWidth="1"/>
    <col min="5" max="5" width="10.77734375" customWidth="1"/>
    <col min="6" max="6" width="11" bestFit="1" customWidth="1"/>
    <col min="9" max="9" width="19" customWidth="1"/>
    <col min="10" max="10" width="10" bestFit="1" customWidth="1"/>
    <col min="11" max="11" width="12.44140625" bestFit="1" customWidth="1"/>
    <col min="12" max="12" width="9.44140625" bestFit="1" customWidth="1"/>
    <col min="13" max="13" width="9.109375" bestFit="1" customWidth="1"/>
    <col min="14" max="14" width="12.5546875" customWidth="1"/>
    <col min="15" max="15" width="15.44140625" bestFit="1" customWidth="1"/>
    <col min="16" max="16" width="14.88671875" bestFit="1" customWidth="1"/>
    <col min="17" max="17" width="13.5546875" bestFit="1" customWidth="1"/>
    <col min="18" max="18" width="13.109375" customWidth="1"/>
    <col min="19" max="19" width="7.21875" bestFit="1" customWidth="1"/>
    <col min="20" max="20" width="8.21875" customWidth="1"/>
    <col min="21" max="21" width="14.5546875" style="302" customWidth="1"/>
    <col min="22" max="22" width="14.5546875" customWidth="1"/>
    <col min="23" max="23" width="14.5546875" style="125" customWidth="1"/>
    <col min="24" max="24" width="12" bestFit="1" customWidth="1"/>
    <col min="25" max="25" width="12.21875" customWidth="1"/>
    <col min="26" max="26" width="20.77734375" bestFit="1" customWidth="1"/>
    <col min="27" max="27" width="9.44140625" customWidth="1"/>
    <col min="28" max="28" width="9.44140625" style="343" customWidth="1"/>
    <col min="29" max="34" width="9.44140625" style="304" customWidth="1"/>
    <col min="35" max="35" width="9.44140625" style="185" customWidth="1"/>
    <col min="36" max="36" width="11.33203125" bestFit="1" customWidth="1"/>
    <col min="39" max="39" width="8.88671875" style="170"/>
    <col min="40" max="42" width="8.88671875" style="223"/>
    <col min="43" max="43" width="9.6640625" bestFit="1" customWidth="1"/>
  </cols>
  <sheetData>
    <row r="1" spans="1:59" ht="14.4" customHeight="1" x14ac:dyDescent="0.3">
      <c r="D1" s="494" t="s">
        <v>0</v>
      </c>
      <c r="E1" s="495"/>
      <c r="F1" s="495"/>
      <c r="G1" s="498"/>
      <c r="H1" s="27"/>
      <c r="I1" s="494" t="s">
        <v>32</v>
      </c>
      <c r="J1" s="495"/>
      <c r="K1" s="495"/>
      <c r="L1" s="495"/>
      <c r="M1" s="495"/>
      <c r="R1" s="517">
        <f>6*F26/(R9/1000)^3/(L4/L6+L5/L7-3)</f>
        <v>335250343769.80859</v>
      </c>
      <c r="S1" s="519" t="s">
        <v>54</v>
      </c>
      <c r="V1" s="33" t="s">
        <v>1</v>
      </c>
      <c r="W1" s="124"/>
      <c r="AI1" s="642"/>
      <c r="AJ1" s="642"/>
      <c r="AK1" s="642"/>
      <c r="AL1" s="642"/>
      <c r="AM1" s="642"/>
      <c r="AN1" s="281"/>
      <c r="AO1" s="281"/>
      <c r="AP1" s="281"/>
      <c r="AQ1" s="654" t="s">
        <v>270</v>
      </c>
      <c r="AR1" s="654"/>
      <c r="AS1" s="654"/>
      <c r="AT1" s="654"/>
    </row>
    <row r="2" spans="1:59" ht="14.4" customHeight="1" thickBot="1" x14ac:dyDescent="0.35">
      <c r="D2" s="496"/>
      <c r="E2" s="497"/>
      <c r="F2" s="497"/>
      <c r="G2" s="499"/>
      <c r="H2" s="27"/>
      <c r="I2" s="496"/>
      <c r="J2" s="497"/>
      <c r="K2" s="497"/>
      <c r="L2" s="497"/>
      <c r="M2" s="497"/>
      <c r="R2" s="518"/>
      <c r="S2" s="520"/>
      <c r="AI2" s="642"/>
      <c r="AJ2" s="642"/>
      <c r="AK2" s="642"/>
      <c r="AL2" s="642"/>
      <c r="AM2" s="642"/>
      <c r="AN2" s="281"/>
      <c r="AO2" s="281"/>
      <c r="AP2" s="281"/>
      <c r="AQ2" s="654"/>
      <c r="AR2" s="654"/>
      <c r="AS2" s="654"/>
      <c r="AT2" s="654"/>
      <c r="AU2" s="170"/>
    </row>
    <row r="3" spans="1:59" x14ac:dyDescent="0.3">
      <c r="D3" s="2" t="s">
        <v>12</v>
      </c>
      <c r="E3" s="28" t="s">
        <v>13</v>
      </c>
      <c r="F3" s="10"/>
      <c r="G3" s="3" t="s">
        <v>14</v>
      </c>
      <c r="H3" s="27"/>
      <c r="I3" s="500"/>
      <c r="J3" s="501"/>
      <c r="N3" s="302" t="s">
        <v>242</v>
      </c>
      <c r="R3" s="518">
        <f>6*F26/(R10/1000)^3/(L4/L6+L5/L7-3)</f>
        <v>335250343769.80859</v>
      </c>
      <c r="S3" s="520" t="s">
        <v>54</v>
      </c>
      <c r="AJ3" s="580" t="s">
        <v>267</v>
      </c>
      <c r="AK3" s="581"/>
      <c r="AL3" s="582"/>
      <c r="AM3" s="576"/>
      <c r="AN3" s="27"/>
      <c r="AU3" s="170"/>
    </row>
    <row r="4" spans="1:59" x14ac:dyDescent="0.3">
      <c r="A4" s="449" t="s">
        <v>229</v>
      </c>
      <c r="B4" s="449"/>
      <c r="D4" s="30" t="s">
        <v>15</v>
      </c>
      <c r="E4" s="11" t="s">
        <v>16</v>
      </c>
      <c r="F4" s="28">
        <v>100</v>
      </c>
      <c r="G4" s="3" t="s">
        <v>3</v>
      </c>
      <c r="H4" s="27"/>
      <c r="I4" s="459" t="s">
        <v>202</v>
      </c>
      <c r="J4" s="470"/>
      <c r="K4" s="28" t="s">
        <v>31</v>
      </c>
      <c r="L4" s="169">
        <v>78.5</v>
      </c>
      <c r="M4" s="3" t="s">
        <v>3</v>
      </c>
      <c r="N4" s="27"/>
      <c r="R4" s="518"/>
      <c r="S4" s="520"/>
      <c r="AJ4" s="235" t="s">
        <v>255</v>
      </c>
      <c r="AK4" s="241" t="s">
        <v>256</v>
      </c>
      <c r="AL4" s="248" t="s">
        <v>263</v>
      </c>
      <c r="AM4" s="576"/>
      <c r="AN4" s="27"/>
      <c r="AU4" s="170"/>
    </row>
    <row r="5" spans="1:59" ht="15" thickBot="1" x14ac:dyDescent="0.35">
      <c r="A5" s="658" t="s">
        <v>46</v>
      </c>
      <c r="B5" s="658"/>
      <c r="D5" s="14" t="s">
        <v>107</v>
      </c>
      <c r="E5" s="28" t="s">
        <v>108</v>
      </c>
      <c r="F5" s="28">
        <v>28</v>
      </c>
      <c r="G5" s="90" t="s">
        <v>3</v>
      </c>
      <c r="H5" s="27"/>
      <c r="I5" s="479" t="s">
        <v>201</v>
      </c>
      <c r="J5" s="480"/>
      <c r="K5" s="28" t="s">
        <v>30</v>
      </c>
      <c r="L5" s="57">
        <f>L13*L9</f>
        <v>38.158831568052832</v>
      </c>
      <c r="M5" s="3" t="str">
        <f>G6</f>
        <v>mm</v>
      </c>
      <c r="N5" s="27"/>
      <c r="R5" s="518">
        <f>6*F26/(R12/1000)^3/(L4/L6+L5/L7-3)</f>
        <v>335250343769.80859</v>
      </c>
      <c r="S5" s="520" t="s">
        <v>54</v>
      </c>
      <c r="W5" s="525" t="s">
        <v>339</v>
      </c>
      <c r="X5" s="525"/>
      <c r="Y5" s="525"/>
      <c r="Z5" s="525"/>
      <c r="AJ5" s="228">
        <v>4354</v>
      </c>
      <c r="AK5" s="132">
        <v>3379.76</v>
      </c>
      <c r="AL5" s="229">
        <v>974.46</v>
      </c>
      <c r="AM5" s="576"/>
    </row>
    <row r="6" spans="1:59" ht="14.4" customHeight="1" x14ac:dyDescent="0.3">
      <c r="A6" s="451" t="s">
        <v>61</v>
      </c>
      <c r="B6" s="451"/>
      <c r="D6" s="30" t="s">
        <v>17</v>
      </c>
      <c r="E6" s="11" t="s">
        <v>18</v>
      </c>
      <c r="F6" s="28">
        <v>100</v>
      </c>
      <c r="G6" s="3" t="s">
        <v>3</v>
      </c>
      <c r="H6" s="27"/>
      <c r="I6" s="459" t="s">
        <v>203</v>
      </c>
      <c r="J6" s="470"/>
      <c r="K6" s="28" t="s">
        <v>42</v>
      </c>
      <c r="L6" s="104">
        <f>RADIANS(N6)*L9</f>
        <v>8.0231389450777719</v>
      </c>
      <c r="M6" s="3" t="s">
        <v>3</v>
      </c>
      <c r="N6" s="448">
        <v>16.399999999999999</v>
      </c>
      <c r="R6" s="521"/>
      <c r="S6" s="522"/>
      <c r="W6" s="500" t="s">
        <v>340</v>
      </c>
      <c r="X6" s="569"/>
      <c r="Y6" s="501" t="s">
        <v>341</v>
      </c>
      <c r="Z6" s="569"/>
      <c r="AD6" s="557" t="s">
        <v>281</v>
      </c>
      <c r="AE6" s="558"/>
      <c r="AF6" s="558"/>
      <c r="AG6" s="559"/>
      <c r="AH6" s="336"/>
      <c r="AJ6" s="228">
        <v>2467</v>
      </c>
      <c r="AK6" s="132">
        <v>1533</v>
      </c>
      <c r="AL6" s="229">
        <v>934</v>
      </c>
      <c r="AM6" s="576"/>
    </row>
    <row r="7" spans="1:59" x14ac:dyDescent="0.3">
      <c r="A7" s="643" t="s">
        <v>278</v>
      </c>
      <c r="B7" s="644"/>
      <c r="D7" s="30" t="s">
        <v>19</v>
      </c>
      <c r="E7" s="11"/>
      <c r="F7" s="28">
        <v>3</v>
      </c>
      <c r="G7" s="3"/>
      <c r="H7" s="27"/>
      <c r="I7" s="459"/>
      <c r="J7" s="470"/>
      <c r="K7" s="28" t="s">
        <v>43</v>
      </c>
      <c r="L7" s="104">
        <f>L9*RADIANS(N7)</f>
        <v>8.0231389450777719</v>
      </c>
      <c r="M7" s="3" t="s">
        <v>3</v>
      </c>
      <c r="N7" s="448">
        <v>16.399999999999999</v>
      </c>
      <c r="W7" s="209" t="s">
        <v>255</v>
      </c>
      <c r="X7" s="398" t="s">
        <v>320</v>
      </c>
      <c r="Y7" s="209" t="s">
        <v>286</v>
      </c>
      <c r="Z7" s="402" t="s">
        <v>290</v>
      </c>
      <c r="AA7" s="331" t="s">
        <v>326</v>
      </c>
      <c r="AD7" s="560" t="s">
        <v>273</v>
      </c>
      <c r="AE7" s="561"/>
      <c r="AF7" s="561"/>
      <c r="AG7" s="562"/>
      <c r="AH7" s="7"/>
      <c r="AJ7" s="228">
        <v>1789.3</v>
      </c>
      <c r="AK7" s="132">
        <v>923.25</v>
      </c>
      <c r="AL7" s="229">
        <v>866.05</v>
      </c>
      <c r="AM7" s="576"/>
    </row>
    <row r="8" spans="1:59" x14ac:dyDescent="0.3">
      <c r="D8" s="633" t="s">
        <v>4</v>
      </c>
      <c r="E8" s="452" t="s">
        <v>20</v>
      </c>
      <c r="F8" s="28">
        <f>Z47</f>
        <v>300</v>
      </c>
      <c r="G8" s="3" t="s">
        <v>5</v>
      </c>
      <c r="H8" s="27"/>
      <c r="I8" s="459" t="s">
        <v>35</v>
      </c>
      <c r="J8" s="470"/>
      <c r="K8" s="28" t="s">
        <v>36</v>
      </c>
      <c r="L8" s="68">
        <f>15*R18</f>
        <v>0.44999999999999996</v>
      </c>
      <c r="M8" s="3" t="s">
        <v>3</v>
      </c>
      <c r="R8" s="62">
        <f>R18</f>
        <v>0.03</v>
      </c>
      <c r="S8" s="64" t="s">
        <v>3</v>
      </c>
      <c r="W8" s="387">
        <v>987.21</v>
      </c>
      <c r="X8" s="399">
        <v>609</v>
      </c>
      <c r="Y8" s="387">
        <v>2.4</v>
      </c>
      <c r="Z8" s="399">
        <v>428.6</v>
      </c>
      <c r="AA8" s="18">
        <f>0.001/0.03</f>
        <v>3.3333333333333333E-2</v>
      </c>
      <c r="AD8" s="357" t="s">
        <v>290</v>
      </c>
      <c r="AE8" s="128" t="s">
        <v>239</v>
      </c>
      <c r="AF8" s="330" t="s">
        <v>168</v>
      </c>
      <c r="AG8" s="362" t="s">
        <v>321</v>
      </c>
      <c r="AH8" s="336"/>
      <c r="AJ8" s="228">
        <v>1405</v>
      </c>
      <c r="AK8" s="132">
        <v>623</v>
      </c>
      <c r="AL8" s="229">
        <v>781.86</v>
      </c>
      <c r="AM8" s="576"/>
      <c r="AU8" s="170"/>
    </row>
    <row r="9" spans="1:59" x14ac:dyDescent="0.3">
      <c r="D9" s="633"/>
      <c r="E9" s="452"/>
      <c r="F9" s="93">
        <f>F8/60</f>
        <v>5</v>
      </c>
      <c r="G9" s="3" t="s">
        <v>177</v>
      </c>
      <c r="H9" s="27"/>
      <c r="I9" s="459" t="s">
        <v>204</v>
      </c>
      <c r="J9" s="470"/>
      <c r="K9" s="28" t="s">
        <v>266</v>
      </c>
      <c r="L9" s="57">
        <f>F5+R18</f>
        <v>28.03</v>
      </c>
      <c r="M9" s="3" t="s">
        <v>3</v>
      </c>
      <c r="R9" s="25">
        <f>R8+R13</f>
        <v>0.03</v>
      </c>
      <c r="S9" s="65" t="s">
        <v>3</v>
      </c>
      <c r="W9" s="385">
        <v>1141</v>
      </c>
      <c r="X9" s="400">
        <v>668</v>
      </c>
      <c r="Y9" s="385">
        <v>59.56</v>
      </c>
      <c r="Z9" s="400">
        <v>504.5</v>
      </c>
      <c r="AA9" s="18">
        <f>0.005/0.03</f>
        <v>0.16666666666666669</v>
      </c>
      <c r="AD9" s="357">
        <v>322.3</v>
      </c>
      <c r="AE9" s="128">
        <v>161.15</v>
      </c>
      <c r="AF9" s="330">
        <v>26981</v>
      </c>
      <c r="AG9" s="362">
        <v>0.01</v>
      </c>
      <c r="AH9" s="336"/>
      <c r="AJ9" s="249">
        <v>1144</v>
      </c>
      <c r="AK9" s="247">
        <v>448</v>
      </c>
      <c r="AL9" s="250">
        <v>695.95</v>
      </c>
      <c r="AM9" s="576"/>
    </row>
    <row r="10" spans="1:59" ht="16.2" customHeight="1" x14ac:dyDescent="0.3">
      <c r="D10" s="633"/>
      <c r="E10" s="452"/>
      <c r="F10" s="17">
        <f>F8/60*F12</f>
        <v>1.5707963267948966</v>
      </c>
      <c r="G10" s="48" t="s">
        <v>6</v>
      </c>
      <c r="H10" s="27"/>
      <c r="I10" s="459" t="s">
        <v>235</v>
      </c>
      <c r="J10" s="470"/>
      <c r="K10" s="452" t="s">
        <v>55</v>
      </c>
      <c r="L10" s="57">
        <f>L5*L4-L4*L6-L5*L7</f>
        <v>2059.4982632512347</v>
      </c>
      <c r="M10" s="492" t="s">
        <v>56</v>
      </c>
      <c r="N10">
        <f>8*78.5</f>
        <v>628</v>
      </c>
      <c r="R10" s="25">
        <f>R8-R13</f>
        <v>0.03</v>
      </c>
      <c r="S10" s="65" t="s">
        <v>3</v>
      </c>
      <c r="W10" s="385">
        <v>1392.61</v>
      </c>
      <c r="X10" s="400">
        <v>750.8</v>
      </c>
      <c r="Y10" s="385">
        <v>227</v>
      </c>
      <c r="Z10" s="400">
        <v>668.72</v>
      </c>
      <c r="AA10" s="18">
        <f>0.01/0.03</f>
        <v>0.33333333333333337</v>
      </c>
      <c r="AD10" s="357">
        <v>661.17</v>
      </c>
      <c r="AE10" s="128">
        <v>330.59</v>
      </c>
      <c r="AF10" s="330">
        <v>25765</v>
      </c>
      <c r="AG10" s="362">
        <v>1.4999999999999999E-2</v>
      </c>
      <c r="AH10" s="336"/>
      <c r="AJ10" s="23"/>
      <c r="AK10" s="128"/>
      <c r="AL10" s="123"/>
      <c r="AM10" s="576"/>
      <c r="AQ10" s="95"/>
      <c r="AS10" s="648" t="s">
        <v>281</v>
      </c>
      <c r="AT10" s="649"/>
      <c r="AU10" s="649"/>
      <c r="AV10" s="649"/>
      <c r="AW10" s="649"/>
      <c r="AX10" s="649"/>
      <c r="AY10" s="650"/>
      <c r="BB10" s="20"/>
    </row>
    <row r="11" spans="1:59" s="95" customFormat="1" x14ac:dyDescent="0.3">
      <c r="D11" s="106"/>
      <c r="E11" s="94"/>
      <c r="F11" s="17"/>
      <c r="G11" s="48"/>
      <c r="H11" s="27"/>
      <c r="I11" s="459"/>
      <c r="J11" s="470"/>
      <c r="K11" s="452"/>
      <c r="L11" s="57">
        <f>L5*L4-L4*L6-L5*L7</f>
        <v>2059.4982632512347</v>
      </c>
      <c r="M11" s="492"/>
      <c r="R11" s="25"/>
      <c r="S11" s="97"/>
      <c r="U11" s="302"/>
      <c r="W11" s="385">
        <v>1744</v>
      </c>
      <c r="X11" s="400">
        <v>831.6</v>
      </c>
      <c r="Y11" s="385">
        <v>450.8</v>
      </c>
      <c r="Z11" s="400">
        <v>880.7</v>
      </c>
      <c r="AA11" s="18">
        <f>0.015/0.03</f>
        <v>0.5</v>
      </c>
      <c r="AB11" s="343"/>
      <c r="AC11" s="304"/>
      <c r="AD11" s="357">
        <v>993.15</v>
      </c>
      <c r="AE11" s="128">
        <v>496.57</v>
      </c>
      <c r="AF11" s="330">
        <v>23685</v>
      </c>
      <c r="AG11" s="362">
        <v>0.02</v>
      </c>
      <c r="AH11" s="336"/>
      <c r="AI11" s="185"/>
      <c r="AJ11" s="577" t="s">
        <v>268</v>
      </c>
      <c r="AK11" s="578"/>
      <c r="AL11" s="579"/>
      <c r="AM11" s="576"/>
      <c r="AQ11" s="561" t="s">
        <v>273</v>
      </c>
      <c r="AR11" s="561"/>
      <c r="AS11" s="561"/>
      <c r="AT11" s="561"/>
      <c r="AU11" s="596"/>
      <c r="AV11" s="270"/>
      <c r="AW11" s="651" t="s">
        <v>274</v>
      </c>
      <c r="AX11" s="652"/>
      <c r="AY11" s="653"/>
      <c r="AZ11"/>
    </row>
    <row r="12" spans="1:59" x14ac:dyDescent="0.3">
      <c r="D12" s="36" t="s">
        <v>2</v>
      </c>
      <c r="E12" s="37"/>
      <c r="F12" s="67">
        <f>F4*PI()/1000</f>
        <v>0.31415926535897931</v>
      </c>
      <c r="G12" s="26" t="s">
        <v>8</v>
      </c>
      <c r="H12" s="27"/>
      <c r="I12" s="459" t="s">
        <v>205</v>
      </c>
      <c r="J12" s="470"/>
      <c r="K12" s="452"/>
      <c r="L12" s="6">
        <v>78</v>
      </c>
      <c r="M12" s="3" t="s">
        <v>38</v>
      </c>
      <c r="N12" s="305"/>
      <c r="R12" s="25">
        <f>R8-R13</f>
        <v>0.03</v>
      </c>
      <c r="S12" s="65" t="s">
        <v>3</v>
      </c>
      <c r="W12" s="385">
        <v>2340</v>
      </c>
      <c r="X12" s="400">
        <v>897</v>
      </c>
      <c r="Y12" s="385">
        <v>641</v>
      </c>
      <c r="Z12" s="400">
        <v>1083</v>
      </c>
      <c r="AA12" s="18">
        <f>0.02/0.03</f>
        <v>0.66666666666666674</v>
      </c>
      <c r="AD12" s="357">
        <v>1208.43</v>
      </c>
      <c r="AE12" s="128">
        <v>604.22</v>
      </c>
      <c r="AF12" s="330">
        <v>20903</v>
      </c>
      <c r="AG12" s="362">
        <v>2.5000000000000001E-2</v>
      </c>
      <c r="AH12" s="336"/>
      <c r="AJ12" s="235" t="s">
        <v>255</v>
      </c>
      <c r="AK12" s="241" t="s">
        <v>256</v>
      </c>
      <c r="AL12" s="248" t="s">
        <v>263</v>
      </c>
      <c r="AM12" s="576"/>
      <c r="AQ12" s="134" t="s">
        <v>282</v>
      </c>
      <c r="AR12" s="218" t="s">
        <v>149</v>
      </c>
      <c r="AS12" s="209" t="s">
        <v>238</v>
      </c>
      <c r="AT12" s="134" t="s">
        <v>239</v>
      </c>
      <c r="AU12" s="275"/>
      <c r="AV12" s="81" t="s">
        <v>240</v>
      </c>
      <c r="AW12" s="209" t="s">
        <v>241</v>
      </c>
      <c r="AX12" s="210" t="s">
        <v>238</v>
      </c>
      <c r="AY12" s="135" t="s">
        <v>239</v>
      </c>
      <c r="AZ12" s="198"/>
    </row>
    <row r="13" spans="1:59" x14ac:dyDescent="0.3">
      <c r="I13" s="460"/>
      <c r="J13" s="475"/>
      <c r="K13" s="483"/>
      <c r="L13" s="61">
        <f>L12/360*2*PI()</f>
        <v>1.3613568165555772</v>
      </c>
      <c r="M13" s="26" t="s">
        <v>39</v>
      </c>
      <c r="N13" s="20"/>
      <c r="R13" s="63">
        <v>0</v>
      </c>
      <c r="S13" s="66" t="s">
        <v>3</v>
      </c>
      <c r="W13" s="385">
        <v>3986</v>
      </c>
      <c r="X13" s="400">
        <v>935</v>
      </c>
      <c r="Y13" s="385">
        <v>726.7</v>
      </c>
      <c r="Z13" s="400">
        <v>1219</v>
      </c>
      <c r="AA13" s="18">
        <f>0.025/0.03</f>
        <v>0.83333333333333337</v>
      </c>
      <c r="AD13" s="357">
        <v>1259.7</v>
      </c>
      <c r="AE13" s="128">
        <v>629.85</v>
      </c>
      <c r="AF13" s="330">
        <v>17786</v>
      </c>
      <c r="AG13" s="362">
        <v>0.03</v>
      </c>
      <c r="AH13" s="336"/>
      <c r="AJ13" s="230">
        <v>3066</v>
      </c>
      <c r="AK13" s="233">
        <v>4032</v>
      </c>
      <c r="AL13" s="231">
        <v>966</v>
      </c>
      <c r="AM13" s="576"/>
      <c r="AV13">
        <v>5.0000000000000001E-3</v>
      </c>
      <c r="AZ13" s="198"/>
    </row>
    <row r="14" spans="1:59" x14ac:dyDescent="0.3">
      <c r="D14" s="493" t="s">
        <v>7</v>
      </c>
      <c r="E14" s="493"/>
      <c r="F14" s="493">
        <f>7/1000</f>
        <v>7.0000000000000001E-3</v>
      </c>
      <c r="G14" s="493" t="s">
        <v>3</v>
      </c>
      <c r="O14" s="485"/>
      <c r="P14" s="485"/>
      <c r="Q14" s="485"/>
      <c r="R14" s="485"/>
      <c r="S14" s="485"/>
      <c r="W14" s="385">
        <v>2605.6799999999998</v>
      </c>
      <c r="X14" s="400">
        <v>928</v>
      </c>
      <c r="Y14" s="385">
        <v>608.55999999999995</v>
      </c>
      <c r="Z14" s="400">
        <v>1214</v>
      </c>
      <c r="AA14" s="383">
        <f>0.035/0.03</f>
        <v>1.1666666666666667</v>
      </c>
      <c r="AD14" s="357">
        <v>1174.6400000000001</v>
      </c>
      <c r="AE14" s="128">
        <v>587.32000000000005</v>
      </c>
      <c r="AF14" s="330">
        <v>14723</v>
      </c>
      <c r="AG14" s="362">
        <v>3.5000000000000003E-2</v>
      </c>
      <c r="AH14" s="336"/>
      <c r="AJ14" s="230">
        <v>1247</v>
      </c>
      <c r="AK14" s="233">
        <v>2177</v>
      </c>
      <c r="AL14" s="231">
        <v>930</v>
      </c>
      <c r="AM14" s="576"/>
      <c r="AQ14" s="217">
        <v>655.95</v>
      </c>
      <c r="AR14" s="222">
        <v>0</v>
      </c>
      <c r="AS14" s="202"/>
      <c r="AT14" s="205"/>
      <c r="AU14" s="199"/>
      <c r="AV14" s="79">
        <v>0.01</v>
      </c>
      <c r="AW14" s="194">
        <v>49.18</v>
      </c>
      <c r="AX14" s="197">
        <f>30495/1000</f>
        <v>30.495000000000001</v>
      </c>
      <c r="AY14" s="265">
        <v>150.83000000000001</v>
      </c>
      <c r="AZ14" s="198"/>
    </row>
    <row r="15" spans="1:59" s="198" customFormat="1" x14ac:dyDescent="0.3">
      <c r="D15" s="493"/>
      <c r="E15" s="493"/>
      <c r="F15" s="493"/>
      <c r="G15" s="493"/>
      <c r="I15" s="454" t="s">
        <v>57</v>
      </c>
      <c r="J15" s="455"/>
      <c r="K15" s="455"/>
      <c r="L15" s="456"/>
      <c r="O15" s="203"/>
      <c r="P15" s="203"/>
      <c r="Q15" s="203"/>
      <c r="R15" s="203"/>
      <c r="S15" s="203"/>
      <c r="U15" s="302"/>
      <c r="W15" s="385">
        <v>1027</v>
      </c>
      <c r="X15" s="400">
        <v>893</v>
      </c>
      <c r="Y15" s="385">
        <v>493.98</v>
      </c>
      <c r="Z15" s="400">
        <v>1111.8</v>
      </c>
      <c r="AA15" s="383">
        <f>0.04/0.03</f>
        <v>1.3333333333333335</v>
      </c>
      <c r="AB15" s="343"/>
      <c r="AC15" s="304"/>
      <c r="AD15" s="357">
        <v>1015.32</v>
      </c>
      <c r="AE15" s="128">
        <v>507.66</v>
      </c>
      <c r="AF15" s="330">
        <v>11978</v>
      </c>
      <c r="AG15" s="362">
        <v>0.04</v>
      </c>
      <c r="AH15" s="336"/>
      <c r="AI15" s="185"/>
      <c r="AJ15" s="230">
        <v>670</v>
      </c>
      <c r="AK15" s="233">
        <v>1552</v>
      </c>
      <c r="AL15" s="231">
        <v>882</v>
      </c>
      <c r="AM15" s="576"/>
      <c r="AQ15" s="217">
        <v>655.29999999999995</v>
      </c>
      <c r="AR15" s="222">
        <v>7.0000000000000007E-2</v>
      </c>
      <c r="AS15" s="206"/>
      <c r="AT15" s="271"/>
      <c r="AU15" s="200"/>
      <c r="AV15" s="264">
        <v>1.4999999999999999E-2</v>
      </c>
      <c r="AW15" s="192">
        <v>47.32</v>
      </c>
      <c r="AX15" s="195">
        <f>29349/1000</f>
        <v>29.349</v>
      </c>
      <c r="AY15" s="266">
        <v>314.27999999999997</v>
      </c>
    </row>
    <row r="16" spans="1:59" x14ac:dyDescent="0.3">
      <c r="D16" s="493"/>
      <c r="E16" s="493"/>
      <c r="F16" s="493"/>
      <c r="G16" s="493"/>
      <c r="I16" s="288" t="s">
        <v>280</v>
      </c>
      <c r="J16" s="225" t="s">
        <v>174</v>
      </c>
      <c r="K16" s="289">
        <f>K17/K19</f>
        <v>0.53156241002747739</v>
      </c>
      <c r="L16" s="290"/>
      <c r="M16" s="19"/>
      <c r="O16" s="527" t="s">
        <v>173</v>
      </c>
      <c r="P16" s="528"/>
      <c r="Q16" s="528"/>
      <c r="R16" s="528"/>
      <c r="S16" s="529"/>
      <c r="W16" s="385">
        <v>538.39</v>
      </c>
      <c r="X16" s="400">
        <v>846.9</v>
      </c>
      <c r="Y16" s="385">
        <v>386.53</v>
      </c>
      <c r="Z16" s="400">
        <v>978.3</v>
      </c>
      <c r="AA16" s="383">
        <f>0.045/0.03</f>
        <v>1.5</v>
      </c>
      <c r="AD16" s="357">
        <v>836.47</v>
      </c>
      <c r="AE16" s="128">
        <v>418.24</v>
      </c>
      <c r="AF16" s="330">
        <v>9665</v>
      </c>
      <c r="AG16" s="362">
        <v>4.4999999999999998E-2</v>
      </c>
      <c r="AH16" s="336"/>
      <c r="AI16" s="186"/>
      <c r="AJ16" s="230">
        <v>405</v>
      </c>
      <c r="AK16" s="233">
        <v>1233</v>
      </c>
      <c r="AL16" s="231">
        <v>828</v>
      </c>
      <c r="AM16" s="576"/>
      <c r="AQ16" s="217">
        <v>629.28</v>
      </c>
      <c r="AR16" s="222">
        <v>0.17</v>
      </c>
      <c r="AS16" s="206"/>
      <c r="AT16" s="271"/>
      <c r="AU16" s="200"/>
      <c r="AV16" s="264">
        <v>0.02</v>
      </c>
      <c r="AW16" s="192">
        <v>44.09</v>
      </c>
      <c r="AX16" s="195">
        <f>27345/1000</f>
        <v>27.344999999999999</v>
      </c>
      <c r="AY16" s="266">
        <v>484.95</v>
      </c>
      <c r="BF16" s="122"/>
      <c r="BG16" s="121"/>
    </row>
    <row r="17" spans="4:51" ht="15" thickBot="1" x14ac:dyDescent="0.35">
      <c r="D17" s="493"/>
      <c r="E17" s="493"/>
      <c r="F17" s="493"/>
      <c r="G17" s="493"/>
      <c r="I17" s="288" t="s">
        <v>265</v>
      </c>
      <c r="J17" s="291" t="s">
        <v>227</v>
      </c>
      <c r="K17" s="292">
        <f>K18*(R1/(R1+L32))/10^5</f>
        <v>26.578120501373871</v>
      </c>
      <c r="L17" s="291" t="s">
        <v>76</v>
      </c>
      <c r="O17" s="530"/>
      <c r="P17" s="531"/>
      <c r="Q17" s="531"/>
      <c r="R17" s="531"/>
      <c r="S17" s="532"/>
      <c r="W17" s="385">
        <v>318.73</v>
      </c>
      <c r="X17" s="400">
        <v>795.34</v>
      </c>
      <c r="Y17" s="385">
        <v>297.32</v>
      </c>
      <c r="Z17" s="400">
        <v>831.6</v>
      </c>
      <c r="AA17" s="383">
        <f>0.05/0.03</f>
        <v>1.6666666666666667</v>
      </c>
      <c r="AD17" s="357">
        <v>670.28</v>
      </c>
      <c r="AE17" s="128">
        <v>335.14</v>
      </c>
      <c r="AF17" s="330">
        <v>7787</v>
      </c>
      <c r="AG17" s="362">
        <v>0.05</v>
      </c>
      <c r="AH17" s="336"/>
      <c r="AI17" s="186"/>
      <c r="AJ17" s="251">
        <v>261.99</v>
      </c>
      <c r="AK17" s="252">
        <v>1034</v>
      </c>
      <c r="AL17" s="253">
        <v>772.57</v>
      </c>
      <c r="AM17" s="576"/>
      <c r="AQ17" s="217">
        <v>571.66999999999996</v>
      </c>
      <c r="AR17" s="222">
        <v>0.27</v>
      </c>
      <c r="AS17" s="206"/>
      <c r="AT17" s="271"/>
      <c r="AU17" s="200"/>
      <c r="AV17" s="264">
        <v>2.5000000000000001E-2</v>
      </c>
      <c r="AW17" s="192">
        <v>39.619999999999997</v>
      </c>
      <c r="AX17" s="195">
        <f>24578/1000</f>
        <v>24.577999999999999</v>
      </c>
      <c r="AY17" s="266">
        <v>612.05999999999995</v>
      </c>
    </row>
    <row r="18" spans="4:51" x14ac:dyDescent="0.3">
      <c r="D18" s="493"/>
      <c r="E18" s="493"/>
      <c r="F18" s="493"/>
      <c r="G18" s="493"/>
      <c r="I18" s="459" t="s">
        <v>58</v>
      </c>
      <c r="J18" s="452" t="s">
        <v>69</v>
      </c>
      <c r="K18" s="40">
        <f>K19*10^5</f>
        <v>5000000</v>
      </c>
      <c r="L18" s="226" t="s">
        <v>75</v>
      </c>
      <c r="O18" s="459" t="s">
        <v>257</v>
      </c>
      <c r="P18" s="470"/>
      <c r="Q18" s="28" t="s">
        <v>44</v>
      </c>
      <c r="R18" s="52">
        <v>0.03</v>
      </c>
      <c r="S18" s="3" t="s">
        <v>3</v>
      </c>
      <c r="W18" s="385">
        <v>202.8</v>
      </c>
      <c r="X18" s="400">
        <v>741.8</v>
      </c>
      <c r="Y18" s="385">
        <v>227.58</v>
      </c>
      <c r="Z18" s="400">
        <v>682.6</v>
      </c>
      <c r="AA18" s="383">
        <f>0.055/0.03</f>
        <v>1.8333333333333335</v>
      </c>
      <c r="AD18" s="357">
        <v>529.73</v>
      </c>
      <c r="AE18" s="128">
        <v>264.86</v>
      </c>
      <c r="AF18" s="330">
        <v>6294</v>
      </c>
      <c r="AG18" s="362">
        <v>5.5E-2</v>
      </c>
      <c r="AH18" s="336"/>
      <c r="AI18" s="186"/>
      <c r="AJ18" s="575"/>
      <c r="AK18" s="575"/>
      <c r="AL18" s="575"/>
      <c r="AM18" s="575"/>
      <c r="AQ18" s="217">
        <v>517.17999999999995</v>
      </c>
      <c r="AR18" s="222">
        <v>0.33</v>
      </c>
      <c r="AS18" s="272"/>
      <c r="AT18" s="273"/>
      <c r="AU18" s="216"/>
      <c r="AV18" s="267">
        <v>0.03</v>
      </c>
      <c r="AW18" s="268">
        <v>34.42</v>
      </c>
      <c r="AX18" s="269">
        <f>21354/1000</f>
        <v>21.353999999999999</v>
      </c>
      <c r="AY18" s="267">
        <v>665.23</v>
      </c>
    </row>
    <row r="19" spans="4:51" ht="15" thickBot="1" x14ac:dyDescent="0.35">
      <c r="F19" s="4"/>
      <c r="I19" s="460"/>
      <c r="J19" s="483"/>
      <c r="K19" s="6">
        <v>50</v>
      </c>
      <c r="L19" s="226" t="s">
        <v>76</v>
      </c>
      <c r="O19" s="459" t="s">
        <v>136</v>
      </c>
      <c r="P19" s="470"/>
      <c r="Q19" s="28" t="s">
        <v>134</v>
      </c>
      <c r="R19" s="101">
        <f>R18*(1-R22*COS(RADIANS(90-R24)))</f>
        <v>0.03</v>
      </c>
      <c r="S19" s="3" t="s">
        <v>3</v>
      </c>
      <c r="U19" s="302" t="s">
        <v>283</v>
      </c>
      <c r="W19" s="386">
        <v>146.56</v>
      </c>
      <c r="X19" s="401">
        <v>699</v>
      </c>
      <c r="Y19" s="386">
        <v>184.03</v>
      </c>
      <c r="Z19" s="401">
        <v>566.79999999999995</v>
      </c>
      <c r="AA19" s="384">
        <f>0.059/0.03</f>
        <v>1.9666666666666666</v>
      </c>
      <c r="AD19" s="357">
        <v>416.66</v>
      </c>
      <c r="AE19" s="128">
        <v>208.33</v>
      </c>
      <c r="AF19" s="330">
        <v>5117</v>
      </c>
      <c r="AG19" s="362">
        <v>0.06</v>
      </c>
      <c r="AH19" s="336"/>
      <c r="AI19" s="186"/>
      <c r="AQ19" s="217">
        <v>344.3</v>
      </c>
      <c r="AR19" s="222">
        <v>0.5</v>
      </c>
      <c r="AS19" s="206"/>
      <c r="AT19" s="271"/>
      <c r="AU19" s="200"/>
      <c r="AV19" s="264">
        <v>3.5000000000000003E-2</v>
      </c>
      <c r="AW19" s="192">
        <v>29.1</v>
      </c>
      <c r="AX19" s="195">
        <f>18051/1000</f>
        <v>18.050999999999998</v>
      </c>
      <c r="AY19" s="266">
        <v>646.86</v>
      </c>
    </row>
    <row r="20" spans="4:51" ht="15" thickBot="1" x14ac:dyDescent="0.35">
      <c r="D20" s="461" t="s">
        <v>21</v>
      </c>
      <c r="E20" s="462"/>
      <c r="F20" s="462"/>
      <c r="G20" s="463"/>
      <c r="I20" s="473" t="s">
        <v>143</v>
      </c>
      <c r="J20" s="484" t="s">
        <v>146</v>
      </c>
      <c r="K20" s="44">
        <f>K18*(L34/(L34+L32))</f>
        <v>2657812.0501373871</v>
      </c>
      <c r="L20" s="218" t="s">
        <v>75</v>
      </c>
      <c r="O20" s="459" t="s">
        <v>137</v>
      </c>
      <c r="P20" s="470"/>
      <c r="Q20" s="28" t="s">
        <v>135</v>
      </c>
      <c r="R20" s="101">
        <f>R18*(1-R22*COS(RADIANS(210-R24)))</f>
        <v>0.03</v>
      </c>
      <c r="S20" s="3" t="s">
        <v>3</v>
      </c>
      <c r="U20" s="18">
        <f>R19/R18</f>
        <v>1</v>
      </c>
      <c r="Z20" s="17"/>
      <c r="AA20" s="195"/>
      <c r="AD20" s="357">
        <v>328.04</v>
      </c>
      <c r="AE20" s="128">
        <v>164.02</v>
      </c>
      <c r="AF20" s="330">
        <v>4191</v>
      </c>
      <c r="AG20" s="362">
        <v>6.5000000000000002E-2</v>
      </c>
      <c r="AH20" s="336"/>
      <c r="AJ20" s="298" t="s">
        <v>284</v>
      </c>
      <c r="AL20" s="299"/>
      <c r="AM20" s="300"/>
      <c r="AN20" s="298" t="s">
        <v>285</v>
      </c>
      <c r="AO20" s="299"/>
      <c r="AP20" s="300"/>
      <c r="AQ20" s="221">
        <v>167.83</v>
      </c>
      <c r="AR20" s="222">
        <v>0.67</v>
      </c>
      <c r="AS20" s="206"/>
      <c r="AT20" s="271"/>
      <c r="AU20" s="200"/>
      <c r="AV20" s="264">
        <v>0.04</v>
      </c>
      <c r="AW20" s="192">
        <v>24.13</v>
      </c>
      <c r="AX20" s="195">
        <f>14969/1000</f>
        <v>14.968999999999999</v>
      </c>
      <c r="AY20" s="266">
        <v>580.95000000000005</v>
      </c>
    </row>
    <row r="21" spans="4:51" ht="15" thickBot="1" x14ac:dyDescent="0.35">
      <c r="D21" s="464" t="s">
        <v>206</v>
      </c>
      <c r="E21" s="465"/>
      <c r="F21" s="465"/>
      <c r="G21" s="466"/>
      <c r="I21" s="460"/>
      <c r="J21" s="483"/>
      <c r="K21" s="102">
        <f>K20/10^5</f>
        <v>26.578120501373871</v>
      </c>
      <c r="L21" s="103" t="s">
        <v>76</v>
      </c>
      <c r="O21" s="460" t="s">
        <v>138</v>
      </c>
      <c r="P21" s="475"/>
      <c r="Q21" s="28" t="s">
        <v>139</v>
      </c>
      <c r="R21" s="101">
        <f>R18*(1-R22*COS(RADIANS(330-R24)))</f>
        <v>0.03</v>
      </c>
      <c r="S21" s="3" t="s">
        <v>3</v>
      </c>
      <c r="AD21" s="360">
        <v>259.42</v>
      </c>
      <c r="AE21" s="363">
        <v>129.71</v>
      </c>
      <c r="AF21" s="350">
        <v>3461</v>
      </c>
      <c r="AG21" s="364">
        <v>7.0000000000000007E-2</v>
      </c>
      <c r="AH21" s="336"/>
      <c r="AJ21" s="295" t="s">
        <v>255</v>
      </c>
      <c r="AL21" s="279" t="s">
        <v>286</v>
      </c>
      <c r="AM21" s="227" t="s">
        <v>283</v>
      </c>
      <c r="AN21" s="295" t="s">
        <v>255</v>
      </c>
      <c r="AO21" s="279" t="s">
        <v>286</v>
      </c>
      <c r="AP21" s="227" t="s">
        <v>283</v>
      </c>
      <c r="AQ21" s="224">
        <v>43.46</v>
      </c>
      <c r="AR21" s="219">
        <v>0.83</v>
      </c>
      <c r="AS21" s="206"/>
      <c r="AT21" s="271"/>
      <c r="AU21" s="200"/>
      <c r="AV21" s="264">
        <v>4.4999999999999998E-2</v>
      </c>
      <c r="AW21" s="192">
        <v>19.79</v>
      </c>
      <c r="AX21" s="195">
        <f>12278/1000</f>
        <v>12.278</v>
      </c>
      <c r="AY21" s="266">
        <v>494.6</v>
      </c>
    </row>
    <row r="22" spans="4:51" x14ac:dyDescent="0.3">
      <c r="D22" s="13" t="s">
        <v>12</v>
      </c>
      <c r="E22" s="28" t="s">
        <v>13</v>
      </c>
      <c r="F22" s="10"/>
      <c r="G22" s="3" t="s">
        <v>14</v>
      </c>
      <c r="I22" s="473" t="s">
        <v>144</v>
      </c>
      <c r="J22" s="484" t="s">
        <v>147</v>
      </c>
      <c r="K22" s="40">
        <f>K18*(L36/(L36+L32))</f>
        <v>2657812.0501373871</v>
      </c>
      <c r="L22" s="222" t="s">
        <v>75</v>
      </c>
      <c r="O22" s="655" t="s">
        <v>269</v>
      </c>
      <c r="P22" s="54" t="s">
        <v>155</v>
      </c>
      <c r="Q22" s="54" t="s">
        <v>149</v>
      </c>
      <c r="R22" s="55">
        <f>R23/R18</f>
        <v>0</v>
      </c>
      <c r="S22" s="56"/>
      <c r="AA22" s="19"/>
      <c r="AG22" s="336"/>
      <c r="AH22" s="336"/>
      <c r="AI22" s="187"/>
      <c r="AJ22" s="228">
        <v>1131.08</v>
      </c>
      <c r="AK22">
        <v>237.8</v>
      </c>
      <c r="AL22" s="132">
        <v>229.54</v>
      </c>
      <c r="AM22" s="22">
        <v>0.16700000000000001</v>
      </c>
      <c r="AN22" s="228">
        <v>1144</v>
      </c>
      <c r="AO22" s="293">
        <v>43.46</v>
      </c>
      <c r="AP22" s="22">
        <v>0.16700000000000001</v>
      </c>
      <c r="AQ22" s="27"/>
      <c r="AR22" s="27"/>
      <c r="AS22" s="206"/>
      <c r="AT22" s="271"/>
      <c r="AU22" s="200"/>
      <c r="AV22" s="264">
        <v>0.05</v>
      </c>
      <c r="AW22" s="192">
        <v>16.16</v>
      </c>
      <c r="AX22" s="195">
        <f>10027/1000</f>
        <v>10.026999999999999</v>
      </c>
      <c r="AY22" s="266">
        <v>407.2</v>
      </c>
    </row>
    <row r="23" spans="4:51" x14ac:dyDescent="0.3">
      <c r="D23" s="116" t="s">
        <v>10</v>
      </c>
      <c r="E23" s="113" t="s">
        <v>9</v>
      </c>
      <c r="F23" s="113">
        <v>20</v>
      </c>
      <c r="G23" s="113" t="s">
        <v>24</v>
      </c>
      <c r="I23" s="460"/>
      <c r="J23" s="483"/>
      <c r="K23" s="57">
        <f>K22/10^5</f>
        <v>26.578120501373871</v>
      </c>
      <c r="L23" s="48" t="s">
        <v>76</v>
      </c>
      <c r="O23" s="656"/>
      <c r="P23" s="254" t="s">
        <v>258</v>
      </c>
      <c r="Q23" s="71" t="s">
        <v>68</v>
      </c>
      <c r="R23" s="282">
        <v>0</v>
      </c>
      <c r="S23" s="255" t="s">
        <v>3</v>
      </c>
      <c r="Y23" s="18"/>
      <c r="Z23" s="18"/>
      <c r="AA23" s="19"/>
      <c r="AI23" s="187"/>
      <c r="AJ23" s="228">
        <v>1292</v>
      </c>
      <c r="AK23">
        <v>788</v>
      </c>
      <c r="AL23" s="132">
        <v>766.23</v>
      </c>
      <c r="AM23" s="22">
        <v>0.33300000000000002</v>
      </c>
      <c r="AN23" s="228">
        <v>1405</v>
      </c>
      <c r="AO23" s="293">
        <v>167.83</v>
      </c>
      <c r="AP23" s="22">
        <v>0.33300000000000002</v>
      </c>
      <c r="AQ23" s="27"/>
      <c r="AR23" s="27"/>
      <c r="AS23" s="206"/>
      <c r="AT23" s="271"/>
      <c r="AU23" s="200"/>
      <c r="AV23" s="264">
        <v>5.5E-2</v>
      </c>
      <c r="AW23" s="192">
        <v>13.2</v>
      </c>
      <c r="AX23" s="195">
        <f>8193/1000</f>
        <v>8.1929999999999996</v>
      </c>
      <c r="AY23" s="266">
        <v>328.9</v>
      </c>
    </row>
    <row r="24" spans="4:51" ht="16.8" thickBot="1" x14ac:dyDescent="0.35">
      <c r="D24" s="116" t="s">
        <v>11</v>
      </c>
      <c r="E24" s="119" t="s">
        <v>26</v>
      </c>
      <c r="F24" s="167">
        <v>841.3</v>
      </c>
      <c r="G24" s="113" t="s">
        <v>27</v>
      </c>
      <c r="I24" s="473" t="s">
        <v>145</v>
      </c>
      <c r="J24" s="484" t="s">
        <v>148</v>
      </c>
      <c r="K24" s="44">
        <f>K18*(L38/(L38+L32))</f>
        <v>2657812.0501373871</v>
      </c>
      <c r="L24" s="218" t="s">
        <v>75</v>
      </c>
      <c r="O24" s="657"/>
      <c r="P24" s="53" t="s">
        <v>259</v>
      </c>
      <c r="Q24" s="87" t="s">
        <v>156</v>
      </c>
      <c r="R24" s="283">
        <v>90</v>
      </c>
      <c r="S24" s="69" t="s">
        <v>38</v>
      </c>
      <c r="T24" s="198"/>
      <c r="V24" s="20"/>
      <c r="W24" s="18"/>
      <c r="Y24" s="18"/>
      <c r="AI24" s="187"/>
      <c r="AJ24" s="228">
        <v>1395</v>
      </c>
      <c r="AK24">
        <v>1149</v>
      </c>
      <c r="AL24" s="132">
        <v>1130</v>
      </c>
      <c r="AM24" s="22">
        <v>0.5</v>
      </c>
      <c r="AN24" s="228">
        <v>1789.3</v>
      </c>
      <c r="AO24" s="293">
        <v>344.3</v>
      </c>
      <c r="AP24" s="22">
        <v>0.5</v>
      </c>
      <c r="AQ24" s="27"/>
      <c r="AR24" s="27"/>
      <c r="AS24" s="206"/>
      <c r="AT24" s="271"/>
      <c r="AU24" s="200"/>
      <c r="AV24" s="264">
        <v>0.06</v>
      </c>
      <c r="AW24" s="192">
        <v>10.83</v>
      </c>
      <c r="AX24" s="195">
        <f>6719/1000</f>
        <v>6.7190000000000003</v>
      </c>
      <c r="AY24" s="266">
        <v>263.22000000000003</v>
      </c>
    </row>
    <row r="25" spans="4:51" ht="15.6" x14ac:dyDescent="0.3">
      <c r="D25" s="659" t="s">
        <v>28</v>
      </c>
      <c r="E25" s="660" t="s">
        <v>25</v>
      </c>
      <c r="F25" s="168">
        <v>1.7410000000000001E-5</v>
      </c>
      <c r="G25" s="113" t="s">
        <v>53</v>
      </c>
      <c r="I25" s="460"/>
      <c r="J25" s="483"/>
      <c r="K25" s="102">
        <f>K24/10^5</f>
        <v>26.578120501373871</v>
      </c>
      <c r="L25" s="103" t="s">
        <v>76</v>
      </c>
      <c r="V25" s="284"/>
      <c r="W25" s="645" t="s">
        <v>277</v>
      </c>
      <c r="X25" s="646"/>
      <c r="Y25" s="646"/>
      <c r="Z25" s="646"/>
      <c r="AA25" s="647"/>
      <c r="AD25" s="566" t="s">
        <v>271</v>
      </c>
      <c r="AE25" s="567"/>
      <c r="AF25" s="567"/>
      <c r="AG25" s="568"/>
      <c r="AJ25" s="228">
        <v>1527</v>
      </c>
      <c r="AK25">
        <v>1073</v>
      </c>
      <c r="AL25" s="132">
        <v>1070</v>
      </c>
      <c r="AM25" s="22">
        <v>0.66700000000000004</v>
      </c>
      <c r="AN25" s="228">
        <v>2467.11</v>
      </c>
      <c r="AO25" s="293">
        <v>517.17999999999995</v>
      </c>
      <c r="AP25" s="22">
        <v>0.66700000000000004</v>
      </c>
      <c r="AQ25" s="27"/>
      <c r="AR25" s="27"/>
      <c r="AS25" s="206"/>
      <c r="AT25" s="271"/>
      <c r="AU25" s="200"/>
      <c r="AV25" s="264">
        <v>6.5000000000000002E-2</v>
      </c>
      <c r="AW25" s="192">
        <v>8.93</v>
      </c>
      <c r="AX25" s="195">
        <f>5542/1000</f>
        <v>5.5419999999999998</v>
      </c>
      <c r="AY25" s="266">
        <v>210.11</v>
      </c>
    </row>
    <row r="26" spans="4:51" ht="16.8" thickBot="1" x14ac:dyDescent="0.35">
      <c r="D26" s="659"/>
      <c r="E26" s="660"/>
      <c r="F26" s="168">
        <f>F25*1000</f>
        <v>1.7410000000000002E-2</v>
      </c>
      <c r="G26" s="113" t="s">
        <v>23</v>
      </c>
      <c r="I26" s="473" t="s">
        <v>78</v>
      </c>
      <c r="J26" s="484" t="s">
        <v>79</v>
      </c>
      <c r="K26" s="40">
        <v>101325</v>
      </c>
      <c r="L26" s="222" t="s">
        <v>75</v>
      </c>
      <c r="P26" s="7"/>
      <c r="Q26" s="7"/>
      <c r="R26" s="7"/>
      <c r="S26" s="7"/>
      <c r="V26" s="285"/>
      <c r="W26" s="235" t="s">
        <v>255</v>
      </c>
      <c r="X26" s="234"/>
      <c r="Y26" s="241" t="s">
        <v>256</v>
      </c>
      <c r="Z26" s="234" t="s">
        <v>263</v>
      </c>
      <c r="AA26" s="236"/>
      <c r="AC26" s="27"/>
      <c r="AD26" s="563" t="s">
        <v>324</v>
      </c>
      <c r="AE26" s="564"/>
      <c r="AF26" s="564"/>
      <c r="AG26" s="565"/>
      <c r="AJ26" s="228">
        <v>2113.88</v>
      </c>
      <c r="AK26">
        <v>793</v>
      </c>
      <c r="AL26" s="132">
        <v>800.92</v>
      </c>
      <c r="AM26" s="22">
        <v>0.83299999999999996</v>
      </c>
      <c r="AN26" s="296">
        <v>4354.22</v>
      </c>
      <c r="AO26" s="294">
        <v>629.28</v>
      </c>
      <c r="AP26" s="22">
        <v>0.83299999999999996</v>
      </c>
      <c r="AQ26" s="27"/>
      <c r="AR26" s="27"/>
      <c r="AS26" s="206"/>
      <c r="AT26" s="271"/>
      <c r="AU26" s="200"/>
      <c r="AV26" s="264">
        <v>7.0000000000000007E-2</v>
      </c>
      <c r="AW26" s="192">
        <v>7.41</v>
      </c>
      <c r="AX26" s="195">
        <f>4602/1000</f>
        <v>4.6020000000000003</v>
      </c>
      <c r="AY26" s="266">
        <v>167.97</v>
      </c>
    </row>
    <row r="27" spans="4:51" ht="16.2" customHeight="1" x14ac:dyDescent="0.3">
      <c r="I27" s="460"/>
      <c r="J27" s="483"/>
      <c r="K27" s="220">
        <v>1.01325</v>
      </c>
      <c r="L27" s="219" t="s">
        <v>76</v>
      </c>
      <c r="P27" s="7"/>
      <c r="Q27" s="7"/>
      <c r="R27" s="7"/>
      <c r="S27" s="7"/>
      <c r="T27" s="240"/>
      <c r="U27" s="240"/>
      <c r="V27" s="286" t="s">
        <v>82</v>
      </c>
      <c r="W27" s="228">
        <f>S35</f>
        <v>5468.3609610507492</v>
      </c>
      <c r="X27" s="242" t="s">
        <v>84</v>
      </c>
      <c r="Y27" s="133">
        <f>(ABS(S49)+ABS(S42))</f>
        <v>5468.3609610507501</v>
      </c>
      <c r="Z27" s="243">
        <f>ABS(S52)</f>
        <v>0</v>
      </c>
      <c r="AA27" s="244" t="s">
        <v>84</v>
      </c>
      <c r="AC27" s="27"/>
      <c r="AD27" s="357" t="s">
        <v>251</v>
      </c>
      <c r="AE27" s="9" t="s">
        <v>325</v>
      </c>
      <c r="AF27" s="48" t="s">
        <v>209</v>
      </c>
      <c r="AG27" s="365" t="s">
        <v>174</v>
      </c>
      <c r="AI27" s="186"/>
      <c r="AJ27" s="230"/>
      <c r="AK27">
        <v>531.5</v>
      </c>
      <c r="AL27" s="132">
        <v>541.28</v>
      </c>
      <c r="AM27" s="22">
        <v>1</v>
      </c>
      <c r="AN27" s="228"/>
      <c r="AO27" s="132">
        <v>655.95</v>
      </c>
      <c r="AP27" s="227">
        <v>1</v>
      </c>
      <c r="AQ27" s="27"/>
      <c r="AR27" s="27"/>
      <c r="AS27" s="206"/>
      <c r="AT27" s="271"/>
      <c r="AU27" s="200"/>
      <c r="AV27" s="264">
        <v>7.4999999999999997E-2</v>
      </c>
      <c r="AW27" s="192">
        <v>6.2</v>
      </c>
      <c r="AX27" s="195">
        <f>3848/1000</f>
        <v>3.8479999999999999</v>
      </c>
      <c r="AY27" s="266">
        <v>134.85</v>
      </c>
    </row>
    <row r="28" spans="4:51" s="198" customFormat="1" ht="16.2" customHeight="1" thickBot="1" x14ac:dyDescent="0.35">
      <c r="N28" s="20"/>
      <c r="O28" s="570" t="s">
        <v>213</v>
      </c>
      <c r="P28" s="571"/>
      <c r="Q28" s="571"/>
      <c r="R28" s="134" t="s">
        <v>168</v>
      </c>
      <c r="S28" s="342">
        <f>IF(R23=0,S35,9798)</f>
        <v>5468.3609610507492</v>
      </c>
      <c r="T28" s="135" t="s">
        <v>84</v>
      </c>
      <c r="U28" s="302"/>
      <c r="V28" s="287" t="s">
        <v>237</v>
      </c>
      <c r="W28" s="245" t="e">
        <f>W27/R23/1000</f>
        <v>#DIV/0!</v>
      </c>
      <c r="X28" s="237" t="s">
        <v>94</v>
      </c>
      <c r="Y28" s="246" t="e">
        <f>Y27/R23/1000</f>
        <v>#DIV/0!</v>
      </c>
      <c r="Z28" s="238" t="e">
        <f>Z27/R23/1000</f>
        <v>#DIV/0!</v>
      </c>
      <c r="AA28" s="232" t="s">
        <v>94</v>
      </c>
      <c r="AB28" s="343"/>
      <c r="AC28" s="304"/>
      <c r="AD28" s="357">
        <v>100</v>
      </c>
      <c r="AE28" s="330">
        <v>326.04000000000002</v>
      </c>
      <c r="AF28" s="262">
        <v>43.45</v>
      </c>
      <c r="AG28" s="366">
        <f t="shared" ref="AG28:AG45" si="0">AF28/50</f>
        <v>0.86900000000000011</v>
      </c>
      <c r="AH28" s="304"/>
      <c r="AJ28" s="228">
        <v>1006</v>
      </c>
      <c r="AK28" s="198">
        <v>347.18</v>
      </c>
      <c r="AL28" s="132">
        <v>355.54</v>
      </c>
      <c r="AM28" s="22">
        <v>1.167</v>
      </c>
      <c r="AN28" s="228">
        <v>3066.19</v>
      </c>
      <c r="AO28" s="132">
        <v>611.61</v>
      </c>
      <c r="AP28" s="227">
        <v>1.167</v>
      </c>
      <c r="AQ28" s="27"/>
      <c r="AR28" s="27"/>
      <c r="AS28" s="207"/>
      <c r="AT28" s="274"/>
      <c r="AU28" s="201"/>
      <c r="AV28" s="84">
        <v>0.08</v>
      </c>
      <c r="AW28" s="193">
        <v>5.22</v>
      </c>
      <c r="AX28" s="196">
        <f>3242/1000</f>
        <v>3.242</v>
      </c>
      <c r="AY28" s="177">
        <v>108.89</v>
      </c>
    </row>
    <row r="29" spans="4:51" ht="15.6" x14ac:dyDescent="0.3">
      <c r="I29" s="476" t="s">
        <v>50</v>
      </c>
      <c r="J29" s="477"/>
      <c r="K29" s="477"/>
      <c r="L29" s="477"/>
      <c r="M29" s="478"/>
      <c r="N29" s="20"/>
      <c r="O29" s="597" t="s">
        <v>319</v>
      </c>
      <c r="P29" s="598"/>
      <c r="Q29" s="598"/>
      <c r="R29" s="598"/>
      <c r="S29" s="598"/>
      <c r="T29" s="599"/>
      <c r="V29" s="593" t="s">
        <v>157</v>
      </c>
      <c r="W29" s="594"/>
      <c r="X29" s="594"/>
      <c r="Y29" s="594"/>
      <c r="Z29" s="594"/>
      <c r="AA29" s="595"/>
      <c r="AD29" s="357">
        <v>150</v>
      </c>
      <c r="AE29" s="330">
        <v>430.76</v>
      </c>
      <c r="AF29" s="262">
        <v>40.78</v>
      </c>
      <c r="AG29" s="366">
        <f t="shared" si="0"/>
        <v>0.81559999999999999</v>
      </c>
      <c r="AJ29" s="228">
        <v>357.68</v>
      </c>
      <c r="AK29">
        <v>228.46</v>
      </c>
      <c r="AL29" s="132">
        <v>234.81</v>
      </c>
      <c r="AM29" s="22">
        <v>1.333</v>
      </c>
      <c r="AN29" s="228">
        <v>1247.0999999999999</v>
      </c>
      <c r="AO29" s="233">
        <v>528.6</v>
      </c>
      <c r="AP29" s="297">
        <v>1.33</v>
      </c>
      <c r="AR29" s="173"/>
    </row>
    <row r="30" spans="4:51" ht="16.2" customHeight="1" x14ac:dyDescent="0.3">
      <c r="I30" s="479" t="s">
        <v>51</v>
      </c>
      <c r="J30" s="480"/>
      <c r="K30" s="28" t="s">
        <v>77</v>
      </c>
      <c r="L30" s="6">
        <v>100</v>
      </c>
      <c r="M30" s="3" t="s">
        <v>3</v>
      </c>
      <c r="O30" s="548" t="s">
        <v>291</v>
      </c>
      <c r="P30" s="551" t="s">
        <v>294</v>
      </c>
      <c r="Q30" s="321" t="s">
        <v>292</v>
      </c>
      <c r="R30" s="322" t="s">
        <v>296</v>
      </c>
      <c r="S30" s="323">
        <f>K20*L9/1000^2*(L4-L7)*(SIN(RADIANS(120))-SIN(RADIANS(60)))</f>
        <v>5.8291354447911186E-13</v>
      </c>
      <c r="T30" s="275" t="s">
        <v>84</v>
      </c>
      <c r="V30" s="624" t="s">
        <v>279</v>
      </c>
      <c r="W30" s="513" t="s">
        <v>91</v>
      </c>
      <c r="X30" s="513"/>
      <c r="Y30" s="452" t="s">
        <v>90</v>
      </c>
      <c r="Z30" s="47">
        <f>3*S28/R18*L92/(1+L92)</f>
        <v>256158.58296944408</v>
      </c>
      <c r="AA30" s="208" t="s">
        <v>93</v>
      </c>
      <c r="AD30" s="367">
        <v>200</v>
      </c>
      <c r="AE30" s="330">
        <v>509.72</v>
      </c>
      <c r="AF30" s="262">
        <v>38.409999999999997</v>
      </c>
      <c r="AG30" s="366">
        <f t="shared" si="0"/>
        <v>0.76819999999999988</v>
      </c>
      <c r="AI30" s="186"/>
      <c r="AJ30" s="228">
        <v>173.93</v>
      </c>
      <c r="AL30" s="132">
        <v>158.11000000000001</v>
      </c>
      <c r="AM30" s="22">
        <v>1.5</v>
      </c>
      <c r="AN30" s="228">
        <v>670.7</v>
      </c>
      <c r="AO30" s="233">
        <v>435.43</v>
      </c>
      <c r="AP30" s="297">
        <v>1.5</v>
      </c>
      <c r="AR30" s="173"/>
    </row>
    <row r="31" spans="4:51" ht="18" customHeight="1" x14ac:dyDescent="0.3">
      <c r="I31" s="479" t="s">
        <v>95</v>
      </c>
      <c r="J31" s="480"/>
      <c r="K31" s="28" t="s">
        <v>52</v>
      </c>
      <c r="L31" s="6">
        <v>0.7</v>
      </c>
      <c r="M31" s="3" t="s">
        <v>3</v>
      </c>
      <c r="O31" s="549"/>
      <c r="P31" s="552"/>
      <c r="Q31" s="313" t="s">
        <v>293</v>
      </c>
      <c r="R31" s="313" t="s">
        <v>297</v>
      </c>
      <c r="S31" s="314">
        <f>K20*L9/1000^2*(L4-L7)*(COS(RADIANS(90-((L12-N6*2)/2)))-COS(RADIANS(90+((L12-N6*2)/2))))</f>
        <v>4035.4224996189869</v>
      </c>
      <c r="T31" s="303" t="s">
        <v>84</v>
      </c>
      <c r="V31" s="625"/>
      <c r="W31" s="540"/>
      <c r="X31" s="540"/>
      <c r="Y31" s="452"/>
      <c r="Z31" s="204">
        <f>Z30/1000</f>
        <v>256.15858296944407</v>
      </c>
      <c r="AA31" s="208" t="s">
        <v>94</v>
      </c>
      <c r="AD31" s="367">
        <v>250</v>
      </c>
      <c r="AE31" s="330">
        <v>569.28</v>
      </c>
      <c r="AF31" s="263">
        <v>36.31</v>
      </c>
      <c r="AG31" s="366">
        <f t="shared" si="0"/>
        <v>0.72620000000000007</v>
      </c>
      <c r="AI31" s="186"/>
      <c r="AJ31" s="228">
        <v>97.5</v>
      </c>
      <c r="AL31" s="132">
        <v>109.05</v>
      </c>
      <c r="AM31" s="22">
        <v>1.67</v>
      </c>
      <c r="AN31" s="228">
        <v>405.26</v>
      </c>
      <c r="AO31" s="233">
        <v>348.87</v>
      </c>
      <c r="AP31" s="297">
        <v>1.667</v>
      </c>
      <c r="AR31" s="173"/>
      <c r="AS31" s="173"/>
    </row>
    <row r="32" spans="4:51" ht="14.4" customHeight="1" thickBot="1" x14ac:dyDescent="0.35">
      <c r="D32" s="639" t="s">
        <v>72</v>
      </c>
      <c r="E32" s="640"/>
      <c r="F32" s="640"/>
      <c r="G32" s="641"/>
      <c r="I32" s="481" t="s">
        <v>47</v>
      </c>
      <c r="J32" s="482"/>
      <c r="K32" s="452" t="s">
        <v>49</v>
      </c>
      <c r="L32" s="630">
        <f>8*F25*L30/(PI()*(L31/2)^4)*1000^4</f>
        <v>295438240384.36237</v>
      </c>
      <c r="M32" s="492" t="s">
        <v>54</v>
      </c>
      <c r="N32" s="19"/>
      <c r="O32" s="549"/>
      <c r="P32" s="553" t="s">
        <v>295</v>
      </c>
      <c r="Q32" s="321" t="s">
        <v>292</v>
      </c>
      <c r="R32" s="322" t="s">
        <v>298</v>
      </c>
      <c r="S32" s="323">
        <f>K20/2*L4*L9/1000^2*((SIN(RADIANS(145))-SIN(RADIANS(120)))+(SIN(RADIANS(60))-SIN(RADIANS(35))))</f>
        <v>-6.4927286142824621E-13</v>
      </c>
      <c r="T32" s="275" t="s">
        <v>84</v>
      </c>
      <c r="V32" s="625"/>
      <c r="W32" s="484">
        <v>1</v>
      </c>
      <c r="X32" s="513" t="s">
        <v>159</v>
      </c>
      <c r="Y32" s="484" t="s">
        <v>158</v>
      </c>
      <c r="Z32" s="197">
        <f>3*S28/R18*((L92*(1+L92)*L93^2)/(1+L92*L93^3)^2)</f>
        <v>256158.58296944405</v>
      </c>
      <c r="AA32" s="256" t="s">
        <v>93</v>
      </c>
      <c r="AD32" s="367">
        <v>300</v>
      </c>
      <c r="AE32" s="330">
        <v>614.04</v>
      </c>
      <c r="AF32" s="263">
        <v>34.42</v>
      </c>
      <c r="AG32" s="366">
        <f t="shared" si="0"/>
        <v>0.68840000000000001</v>
      </c>
      <c r="AI32" s="186"/>
      <c r="AJ32" s="228">
        <v>59.6</v>
      </c>
      <c r="AK32" s="128"/>
      <c r="AL32" s="132">
        <v>77</v>
      </c>
      <c r="AM32" s="22">
        <v>1.83</v>
      </c>
      <c r="AN32" s="228">
        <v>261.99</v>
      </c>
      <c r="AO32" s="233">
        <v>275.67</v>
      </c>
      <c r="AP32" s="297">
        <v>1.83</v>
      </c>
      <c r="AQ32" s="128"/>
      <c r="AR32" s="128"/>
      <c r="AS32" s="128"/>
      <c r="AT32" s="128"/>
      <c r="AU32" s="128"/>
      <c r="AV32" s="128"/>
      <c r="AW32" s="128"/>
      <c r="AX32" s="128"/>
      <c r="AY32" s="128"/>
    </row>
    <row r="33" spans="4:54" ht="18" customHeight="1" x14ac:dyDescent="0.3">
      <c r="D33" s="453" t="s">
        <v>207</v>
      </c>
      <c r="E33" s="452" t="s">
        <v>73</v>
      </c>
      <c r="F33" s="105">
        <f>(F38+F40+F42)/100^3</f>
        <v>2.3301555425660881E-5</v>
      </c>
      <c r="G33" s="3" t="s">
        <v>74</v>
      </c>
      <c r="I33" s="481"/>
      <c r="J33" s="482"/>
      <c r="K33" s="452"/>
      <c r="L33" s="630"/>
      <c r="M33" s="492"/>
      <c r="N33" s="20"/>
      <c r="O33" s="549"/>
      <c r="P33" s="552"/>
      <c r="Q33" s="313" t="s">
        <v>293</v>
      </c>
      <c r="R33" s="313" t="s">
        <v>299</v>
      </c>
      <c r="S33" s="314">
        <f>K20/2*L4*L9/1000^2*((-COS(RADIANS(90+((L12-N6*2)/2)+N6))+COS(RADIANS(90+((L12-N6*2)/2))))+(-COS(RADIANS(90-((L12-N6*2)/2)))+COS(RADIANS(90-((L12-N6*2)/2)-N6))))</f>
        <v>1432.9384614317621</v>
      </c>
      <c r="T33" s="303" t="s">
        <v>84</v>
      </c>
      <c r="V33" s="625"/>
      <c r="W33" s="483"/>
      <c r="X33" s="540"/>
      <c r="Y33" s="483"/>
      <c r="Z33" s="102">
        <f>Z32/1000</f>
        <v>256.15858296944407</v>
      </c>
      <c r="AA33" s="257" t="s">
        <v>94</v>
      </c>
      <c r="AD33" s="367">
        <v>350</v>
      </c>
      <c r="AE33" s="330">
        <v>647.41</v>
      </c>
      <c r="AF33" s="263">
        <v>32.729999999999997</v>
      </c>
      <c r="AG33" s="366">
        <f t="shared" si="0"/>
        <v>0.65459999999999996</v>
      </c>
      <c r="AI33" s="186"/>
      <c r="AJ33" s="586" t="s">
        <v>322</v>
      </c>
      <c r="AK33" s="587"/>
      <c r="AL33" s="587"/>
      <c r="AM33" s="587"/>
      <c r="AN33" s="587"/>
      <c r="AO33" s="587"/>
      <c r="AP33" s="587"/>
      <c r="AQ33" s="587"/>
      <c r="AR33" s="587"/>
      <c r="AS33" s="587"/>
      <c r="AT33" s="587"/>
      <c r="AU33" s="587"/>
      <c r="AV33" s="587"/>
      <c r="AW33" s="587"/>
      <c r="AX33" s="587"/>
      <c r="AY33" s="588"/>
      <c r="AZ33" s="223"/>
      <c r="BA33" s="223"/>
      <c r="BB33" s="223"/>
    </row>
    <row r="34" spans="4:54" ht="18" customHeight="1" x14ac:dyDescent="0.3">
      <c r="D34" s="453"/>
      <c r="E34" s="452"/>
      <c r="F34" s="101">
        <f>F33*100^3</f>
        <v>23.301555425660879</v>
      </c>
      <c r="G34" s="3" t="s">
        <v>106</v>
      </c>
      <c r="I34" s="473" t="s">
        <v>130</v>
      </c>
      <c r="J34" s="474"/>
      <c r="K34" s="484" t="s">
        <v>128</v>
      </c>
      <c r="L34" s="471">
        <f>6*F26/(R19/1000)^3/(L4/L6+L5/L7-3)</f>
        <v>335250343769.80859</v>
      </c>
      <c r="M34" s="467" t="s">
        <v>54</v>
      </c>
      <c r="N34" s="328"/>
      <c r="O34" s="549"/>
      <c r="P34" s="554" t="s">
        <v>210</v>
      </c>
      <c r="Q34" s="555"/>
      <c r="R34" s="322" t="s">
        <v>301</v>
      </c>
      <c r="S34" s="323">
        <f>S32+S30</f>
        <v>-6.6359316949134347E-14</v>
      </c>
      <c r="T34" s="275" t="s">
        <v>84</v>
      </c>
      <c r="U34" s="31"/>
      <c r="V34" s="625"/>
      <c r="W34" s="484">
        <v>2</v>
      </c>
      <c r="X34" s="515" t="s">
        <v>160</v>
      </c>
      <c r="Y34" s="484" t="s">
        <v>163</v>
      </c>
      <c r="Z34" s="197">
        <f>3*S28/R18*((L96*(1+L96)*L97^2)/(1+L96*L97^3)^2)</f>
        <v>256158.58296944405</v>
      </c>
      <c r="AA34" s="256" t="s">
        <v>93</v>
      </c>
      <c r="AD34" s="367">
        <v>400</v>
      </c>
      <c r="AE34" s="330">
        <v>671.93</v>
      </c>
      <c r="AF34" s="263">
        <v>31.19</v>
      </c>
      <c r="AG34" s="366">
        <f t="shared" si="0"/>
        <v>0.62380000000000002</v>
      </c>
      <c r="AI34" s="186"/>
      <c r="AJ34" s="600" t="s">
        <v>243</v>
      </c>
      <c r="AK34" s="484" t="s">
        <v>208</v>
      </c>
      <c r="AL34" s="484" t="s">
        <v>244</v>
      </c>
      <c r="AM34" s="452" t="s">
        <v>249</v>
      </c>
      <c r="AN34" s="583" t="s">
        <v>250</v>
      </c>
      <c r="AO34" s="584"/>
      <c r="AP34" s="585"/>
      <c r="AQ34" s="589" t="s">
        <v>248</v>
      </c>
      <c r="AR34" s="590"/>
      <c r="AS34" s="592"/>
      <c r="AT34" s="583" t="s">
        <v>246</v>
      </c>
      <c r="AU34" s="584"/>
      <c r="AV34" s="585"/>
      <c r="AW34" s="589" t="s">
        <v>247</v>
      </c>
      <c r="AX34" s="590"/>
      <c r="AY34" s="591"/>
    </row>
    <row r="35" spans="4:54" ht="18" customHeight="1" x14ac:dyDescent="0.3">
      <c r="D35" s="636"/>
      <c r="E35" s="637"/>
      <c r="F35" s="637"/>
      <c r="G35" s="638"/>
      <c r="I35" s="460"/>
      <c r="J35" s="475"/>
      <c r="K35" s="483"/>
      <c r="L35" s="472"/>
      <c r="M35" s="468"/>
      <c r="N35" s="329"/>
      <c r="O35" s="549"/>
      <c r="P35" s="556" t="s">
        <v>169</v>
      </c>
      <c r="Q35" s="556"/>
      <c r="R35" s="313" t="s">
        <v>300</v>
      </c>
      <c r="S35" s="314">
        <f>S33+S31</f>
        <v>5468.3609610507492</v>
      </c>
      <c r="T35" s="303" t="s">
        <v>84</v>
      </c>
      <c r="V35" s="625"/>
      <c r="W35" s="452"/>
      <c r="X35" s="515"/>
      <c r="Y35" s="452"/>
      <c r="Z35" s="57">
        <f>Z34/1000</f>
        <v>256.15858296944407</v>
      </c>
      <c r="AA35" s="257" t="s">
        <v>94</v>
      </c>
      <c r="AD35" s="367">
        <v>450</v>
      </c>
      <c r="AE35" s="330">
        <v>689.53</v>
      </c>
      <c r="AF35" s="263">
        <v>29.78</v>
      </c>
      <c r="AG35" s="366">
        <f t="shared" si="0"/>
        <v>0.59560000000000002</v>
      </c>
      <c r="AI35" s="186"/>
      <c r="AJ35" s="601"/>
      <c r="AK35" s="452"/>
      <c r="AL35" s="452"/>
      <c r="AM35" s="452"/>
      <c r="AN35" s="337" t="s">
        <v>241</v>
      </c>
      <c r="AO35" s="332" t="s">
        <v>245</v>
      </c>
      <c r="AP35" s="175" t="s">
        <v>239</v>
      </c>
      <c r="AQ35" s="337" t="s">
        <v>241</v>
      </c>
      <c r="AR35" s="332" t="s">
        <v>245</v>
      </c>
      <c r="AS35" s="177" t="s">
        <v>239</v>
      </c>
      <c r="AT35" s="337" t="s">
        <v>241</v>
      </c>
      <c r="AU35" s="332" t="s">
        <v>245</v>
      </c>
      <c r="AV35" s="175" t="s">
        <v>239</v>
      </c>
      <c r="AW35" s="332" t="s">
        <v>241</v>
      </c>
      <c r="AX35" s="332" t="s">
        <v>245</v>
      </c>
      <c r="AY35" s="354" t="s">
        <v>323</v>
      </c>
    </row>
    <row r="36" spans="4:54" ht="16.2" customHeight="1" x14ac:dyDescent="0.3">
      <c r="D36" s="636"/>
      <c r="E36" s="637"/>
      <c r="F36" s="637"/>
      <c r="G36" s="638"/>
      <c r="H36" s="20"/>
      <c r="I36" s="473" t="s">
        <v>131</v>
      </c>
      <c r="J36" s="474"/>
      <c r="K36" s="484" t="s">
        <v>129</v>
      </c>
      <c r="L36" s="471">
        <f>6*F26/(R20/1000)^3/(L4/L6+L5/L7-3)</f>
        <v>335250343769.80859</v>
      </c>
      <c r="M36" s="467" t="s">
        <v>54</v>
      </c>
      <c r="O36" s="550"/>
      <c r="P36" s="556" t="s">
        <v>154</v>
      </c>
      <c r="Q36" s="556"/>
      <c r="R36" s="313" t="s">
        <v>302</v>
      </c>
      <c r="S36" s="345">
        <f>SQRT(S35^2+S34^2)</f>
        <v>5468.3609610507492</v>
      </c>
      <c r="T36" s="316" t="s">
        <v>84</v>
      </c>
      <c r="V36" s="625"/>
      <c r="W36" s="484">
        <v>3</v>
      </c>
      <c r="X36" s="513" t="s">
        <v>161</v>
      </c>
      <c r="Y36" s="484" t="s">
        <v>162</v>
      </c>
      <c r="Z36" s="197">
        <f>3*S28/R18*((L100*(1+L100)*L101^2)/(1+L100*L101^3)^2)</f>
        <v>256158.58296944405</v>
      </c>
      <c r="AA36" s="256" t="s">
        <v>93</v>
      </c>
      <c r="AD36" s="367">
        <v>500</v>
      </c>
      <c r="AE36" s="330">
        <v>701.69</v>
      </c>
      <c r="AF36" s="262">
        <v>28.5</v>
      </c>
      <c r="AG36" s="366">
        <f t="shared" si="0"/>
        <v>0.56999999999999995</v>
      </c>
      <c r="AI36" s="186"/>
      <c r="AJ36" s="355">
        <v>5</v>
      </c>
      <c r="AK36" s="178">
        <f>RADIANS(AJ36)*$L$9</f>
        <v>2.446078946670053</v>
      </c>
      <c r="AL36" s="179">
        <f t="shared" ref="AL36:AL45" si="1">AK36/$L$4</f>
        <v>3.1160241358854177E-2</v>
      </c>
      <c r="AM36" s="129">
        <f>$L$5*$L$4-$L$4*AK36-$L$5*AK36</f>
        <v>2710.1115662504058</v>
      </c>
      <c r="AN36" s="13"/>
      <c r="AO36" s="330"/>
      <c r="AP36" s="174"/>
      <c r="AQ36" s="211">
        <v>7.74</v>
      </c>
      <c r="AR36" s="330">
        <f>6070/1000</f>
        <v>6.07</v>
      </c>
      <c r="AS36" s="176">
        <v>213.42</v>
      </c>
      <c r="AT36" s="13">
        <v>15.13</v>
      </c>
      <c r="AU36" s="330">
        <f>11868/1000</f>
        <v>11.868</v>
      </c>
      <c r="AV36" s="174">
        <v>522.9</v>
      </c>
      <c r="AW36" s="9">
        <v>29.71</v>
      </c>
      <c r="AX36" s="330">
        <f>23301/1000</f>
        <v>23.300999999999998</v>
      </c>
      <c r="AY36" s="356">
        <v>1191.25</v>
      </c>
    </row>
    <row r="37" spans="4:54" ht="16.2" x14ac:dyDescent="0.3">
      <c r="D37" s="634" t="s">
        <v>73</v>
      </c>
      <c r="E37" s="452" t="s">
        <v>140</v>
      </c>
      <c r="F37" s="19">
        <f>($K$18-$K$26)/($L$32+L34)</f>
        <v>7.7671851418869597E-6</v>
      </c>
      <c r="G37" s="3" t="s">
        <v>74</v>
      </c>
      <c r="H37" s="19"/>
      <c r="I37" s="460"/>
      <c r="J37" s="475"/>
      <c r="K37" s="483"/>
      <c r="L37" s="472"/>
      <c r="M37" s="468"/>
      <c r="O37" s="606" t="s">
        <v>303</v>
      </c>
      <c r="P37" s="609" t="s">
        <v>294</v>
      </c>
      <c r="Q37" s="317" t="s">
        <v>292</v>
      </c>
      <c r="R37" s="318" t="s">
        <v>305</v>
      </c>
      <c r="S37" s="319">
        <f>K22*L9/1000^2*(L4-L7)*(SIN(RADIANS(210+((L12-N6*2)/2)))-SIN(RADIANS(210-((L12-N6*2)/2))))</f>
        <v>-3494.7783996733424</v>
      </c>
      <c r="T37" s="320" t="s">
        <v>84</v>
      </c>
      <c r="V37" s="625"/>
      <c r="W37" s="483"/>
      <c r="X37" s="540"/>
      <c r="Y37" s="483"/>
      <c r="Z37" s="102">
        <f>Z36/1000</f>
        <v>256.15858296944407</v>
      </c>
      <c r="AA37" s="257" t="s">
        <v>94</v>
      </c>
      <c r="AD37" s="368">
        <v>600</v>
      </c>
      <c r="AE37" s="9">
        <v>713.97</v>
      </c>
      <c r="AF37" s="263">
        <v>26.25</v>
      </c>
      <c r="AG37" s="366">
        <f t="shared" si="0"/>
        <v>0.52500000000000002</v>
      </c>
      <c r="AI37" s="186"/>
      <c r="AJ37" s="357">
        <v>10</v>
      </c>
      <c r="AK37" s="93">
        <f t="shared" ref="AK37:AK45" si="2">RADIANS(AJ37)*$L$9</f>
        <v>4.892157893340106</v>
      </c>
      <c r="AL37" s="334">
        <f t="shared" si="1"/>
        <v>6.2320482717708355E-2</v>
      </c>
      <c r="AM37" s="133">
        <f t="shared" ref="AM37:AM45" si="3">$L$5*$L$4-$L$4*AK37-$L$5*AK37</f>
        <v>2424.754854408664</v>
      </c>
      <c r="AN37" s="13">
        <v>2.35</v>
      </c>
      <c r="AO37" s="330">
        <f>1709/1000</f>
        <v>1.7090000000000001</v>
      </c>
      <c r="AP37" s="174">
        <v>61.08</v>
      </c>
      <c r="AQ37" s="211">
        <v>14.14</v>
      </c>
      <c r="AR37" s="330">
        <f>10277/1000</f>
        <v>10.276999999999999</v>
      </c>
      <c r="AS37" s="176">
        <v>357.65</v>
      </c>
      <c r="AT37" s="13">
        <v>24.16</v>
      </c>
      <c r="AU37" s="330">
        <f>17552/1000</f>
        <v>17.552</v>
      </c>
      <c r="AV37" s="174">
        <v>709.35</v>
      </c>
      <c r="AW37" s="9">
        <v>37.96</v>
      </c>
      <c r="AX37" s="330">
        <f>27580/1000</f>
        <v>27.58</v>
      </c>
      <c r="AY37" s="356">
        <v>1045.3499999999999</v>
      </c>
    </row>
    <row r="38" spans="4:54" ht="16.2" x14ac:dyDescent="0.3">
      <c r="D38" s="634"/>
      <c r="E38" s="452"/>
      <c r="F38" s="101">
        <f>F37*100^3</f>
        <v>7.7671851418869595</v>
      </c>
      <c r="G38" s="3" t="s">
        <v>106</v>
      </c>
      <c r="H38" s="19"/>
      <c r="I38" s="459" t="s">
        <v>133</v>
      </c>
      <c r="J38" s="470"/>
      <c r="K38" s="452" t="s">
        <v>132</v>
      </c>
      <c r="L38" s="629">
        <f>6*F26/(R21/1000)^3/(L4/L6+L5/L7-3)</f>
        <v>335250343769.80859</v>
      </c>
      <c r="M38" s="492" t="s">
        <v>54</v>
      </c>
      <c r="O38" s="607"/>
      <c r="P38" s="610"/>
      <c r="Q38" s="308" t="s">
        <v>293</v>
      </c>
      <c r="R38" s="308" t="s">
        <v>306</v>
      </c>
      <c r="S38" s="309">
        <f>K22*L9/1000^2*(L4-L7)*(-COS(RADIANS(210+((L12-N6*2)/2)))+COS(RADIANS(210-((L12-N6*2)/2))))</f>
        <v>-2017.711249809493</v>
      </c>
      <c r="T38" s="310" t="s">
        <v>84</v>
      </c>
      <c r="U38" s="391"/>
      <c r="V38" s="626"/>
      <c r="W38" s="301" t="s">
        <v>288</v>
      </c>
      <c r="X38" s="301" t="s">
        <v>289</v>
      </c>
      <c r="Y38" s="301" t="s">
        <v>290</v>
      </c>
      <c r="Z38" s="179">
        <f>(Z35+Z37)*SIN(RADIANS(30))+Z33</f>
        <v>512.31716593888814</v>
      </c>
      <c r="AA38" s="257" t="s">
        <v>94</v>
      </c>
      <c r="AD38" s="367">
        <v>650</v>
      </c>
      <c r="AE38" s="330">
        <v>715.68</v>
      </c>
      <c r="AF38" s="263">
        <v>25.25</v>
      </c>
      <c r="AG38" s="366">
        <f t="shared" si="0"/>
        <v>0.505</v>
      </c>
      <c r="AI38" s="188"/>
      <c r="AJ38" s="357">
        <v>15</v>
      </c>
      <c r="AK38" s="93">
        <f t="shared" si="2"/>
        <v>7.3382368400101585</v>
      </c>
      <c r="AL38" s="334">
        <f t="shared" si="1"/>
        <v>9.3480724076562535E-2</v>
      </c>
      <c r="AM38" s="133">
        <f t="shared" si="3"/>
        <v>2139.3981425669222</v>
      </c>
      <c r="AN38" s="338"/>
      <c r="AO38" s="330"/>
      <c r="AP38" s="174"/>
      <c r="AQ38" s="212">
        <v>19.53</v>
      </c>
      <c r="AR38" s="330">
        <f>13119/1000</f>
        <v>13.119</v>
      </c>
      <c r="AS38" s="176">
        <v>447.26</v>
      </c>
      <c r="AT38" s="338">
        <v>30.15</v>
      </c>
      <c r="AU38" s="330">
        <f>20250/1000</f>
        <v>20.25</v>
      </c>
      <c r="AV38" s="174">
        <v>741.46</v>
      </c>
      <c r="AW38" s="339">
        <v>41.84</v>
      </c>
      <c r="AX38" s="330">
        <f>28095/1000</f>
        <v>28.094999999999999</v>
      </c>
      <c r="AY38" s="356">
        <v>825.34</v>
      </c>
    </row>
    <row r="39" spans="4:54" ht="16.8" thickBot="1" x14ac:dyDescent="0.35">
      <c r="D39" s="634"/>
      <c r="E39" s="452" t="s">
        <v>141</v>
      </c>
      <c r="F39" s="19">
        <f>($K$18-$K$26)/($L$32+L36)</f>
        <v>7.7671851418869597E-6</v>
      </c>
      <c r="G39" s="3" t="s">
        <v>74</v>
      </c>
      <c r="I39" s="460"/>
      <c r="J39" s="475"/>
      <c r="K39" s="483"/>
      <c r="L39" s="472"/>
      <c r="M39" s="468"/>
      <c r="O39" s="607"/>
      <c r="P39" s="611" t="s">
        <v>295</v>
      </c>
      <c r="Q39" s="317" t="s">
        <v>292</v>
      </c>
      <c r="R39" s="318" t="s">
        <v>307</v>
      </c>
      <c r="S39" s="319">
        <f>K22/2*L4*L9/1000^2*((SIN(RADIANS(210-((L12-N6*2)/2)))-SIN(RADIANS(210-((L12-N6*2)/2)-N6)))+(SIN(RADIANS(210+((L12-N6*2)/2)+N6))-SIN(RADIANS(210+((L12-N6*2)/2)))))</f>
        <v>-1240.9611096596943</v>
      </c>
      <c r="T39" s="320" t="s">
        <v>84</v>
      </c>
      <c r="U39"/>
      <c r="V39" s="258" t="s">
        <v>228</v>
      </c>
      <c r="W39" s="618" t="s">
        <v>230</v>
      </c>
      <c r="X39" s="619"/>
      <c r="Y39" s="259" t="s">
        <v>180</v>
      </c>
      <c r="Z39" s="260">
        <f>Z48</f>
        <v>388.36326663603688</v>
      </c>
      <c r="AA39" s="261" t="s">
        <v>94</v>
      </c>
      <c r="AD39" s="368">
        <v>700</v>
      </c>
      <c r="AE39" s="330">
        <v>715.22</v>
      </c>
      <c r="AF39" s="263">
        <v>24.32</v>
      </c>
      <c r="AG39" s="366">
        <f t="shared" si="0"/>
        <v>0.4864</v>
      </c>
      <c r="AJ39" s="357">
        <v>20</v>
      </c>
      <c r="AK39" s="93">
        <f t="shared" si="2"/>
        <v>9.784315786680212</v>
      </c>
      <c r="AL39" s="334">
        <f t="shared" si="1"/>
        <v>0.12464096543541671</v>
      </c>
      <c r="AM39" s="133">
        <f t="shared" si="3"/>
        <v>1854.0414307251804</v>
      </c>
      <c r="AN39" s="13">
        <v>5.22</v>
      </c>
      <c r="AO39" s="330">
        <f>3242/1000</f>
        <v>3.242</v>
      </c>
      <c r="AP39" s="174">
        <v>108.89</v>
      </c>
      <c r="AQ39" s="211">
        <v>24.13</v>
      </c>
      <c r="AR39" s="330">
        <f>14969/1000</f>
        <v>14.968999999999999</v>
      </c>
      <c r="AS39" s="176">
        <v>494.07</v>
      </c>
      <c r="AT39" s="13">
        <v>34.42</v>
      </c>
      <c r="AU39" s="330">
        <f>21354/1000</f>
        <v>21.353999999999999</v>
      </c>
      <c r="AV39" s="174">
        <v>701.69</v>
      </c>
      <c r="AW39" s="9">
        <v>44.09</v>
      </c>
      <c r="AX39" s="330">
        <f>27345/1000</f>
        <v>27.344999999999999</v>
      </c>
      <c r="AY39" s="356">
        <v>641.03</v>
      </c>
    </row>
    <row r="40" spans="4:54" ht="16.2" x14ac:dyDescent="0.3">
      <c r="D40" s="634"/>
      <c r="E40" s="452"/>
      <c r="F40" s="101">
        <f>F39*100^3</f>
        <v>7.7671851418869595</v>
      </c>
      <c r="G40" s="3" t="s">
        <v>106</v>
      </c>
      <c r="H40" s="19"/>
      <c r="O40" s="607"/>
      <c r="P40" s="610"/>
      <c r="Q40" s="308" t="s">
        <v>293</v>
      </c>
      <c r="R40" s="308" t="s">
        <v>308</v>
      </c>
      <c r="S40" s="309">
        <f>K22/2*L4*L9/1000^2*((-COS(RADIANS(210-((L12-N6*2)/2)))+COS(RADIANS(210-((L12-N6*2)/2)-N6)))+(-COS(RADIANS(210+((L12-N6*2)/2)+N6))+COS(RADIANS(210+((L12-N6*2)/2)))))</f>
        <v>-716.46923071588026</v>
      </c>
      <c r="T40" s="310" t="s">
        <v>84</v>
      </c>
      <c r="U40"/>
      <c r="W40" s="391"/>
      <c r="X40" s="391"/>
      <c r="AD40" s="367">
        <v>800</v>
      </c>
      <c r="AE40" s="330">
        <v>709.48</v>
      </c>
      <c r="AF40" s="263">
        <v>22.66</v>
      </c>
      <c r="AG40" s="366">
        <f t="shared" si="0"/>
        <v>0.45319999999999999</v>
      </c>
      <c r="AJ40" s="358">
        <v>25</v>
      </c>
      <c r="AK40" s="181">
        <f t="shared" si="2"/>
        <v>12.230394733350265</v>
      </c>
      <c r="AL40" s="182">
        <f t="shared" si="1"/>
        <v>0.1558012067942709</v>
      </c>
      <c r="AM40" s="215">
        <f t="shared" si="3"/>
        <v>1568.6847188834386</v>
      </c>
      <c r="AN40" s="180"/>
      <c r="AO40" s="183"/>
      <c r="AP40" s="184"/>
      <c r="AQ40" s="213">
        <v>28.1</v>
      </c>
      <c r="AR40" s="183">
        <f>16117/1000</f>
        <v>16.117000000000001</v>
      </c>
      <c r="AS40" s="184">
        <v>507.66</v>
      </c>
      <c r="AT40" s="180">
        <v>37.619999999999997</v>
      </c>
      <c r="AU40" s="183">
        <f>21580/1000</f>
        <v>21.58</v>
      </c>
      <c r="AV40" s="184">
        <v>629.85</v>
      </c>
      <c r="AW40" s="183">
        <v>45.56</v>
      </c>
      <c r="AX40" s="183">
        <f>26127/1000</f>
        <v>26.126999999999999</v>
      </c>
      <c r="AY40" s="359">
        <v>496.57</v>
      </c>
    </row>
    <row r="41" spans="4:54" ht="16.2" customHeight="1" x14ac:dyDescent="0.3">
      <c r="D41" s="634"/>
      <c r="E41" s="452" t="s">
        <v>142</v>
      </c>
      <c r="F41" s="19">
        <f>($K$18-$K$26)/($L$32+L38)</f>
        <v>7.7671851418869597E-6</v>
      </c>
      <c r="G41" s="3" t="s">
        <v>74</v>
      </c>
      <c r="I41" s="627" t="s">
        <v>191</v>
      </c>
      <c r="J41" s="507" t="s">
        <v>127</v>
      </c>
      <c r="K41" s="628">
        <f>41.1*SQRT(F4/2/R18)*F26/F24/(R18/1000)/PI()/(F4/1000)</f>
        <v>3684.1979068079718</v>
      </c>
      <c r="L41" s="628"/>
      <c r="M41" s="19"/>
      <c r="O41" s="607"/>
      <c r="P41" s="612" t="s">
        <v>210</v>
      </c>
      <c r="Q41" s="613"/>
      <c r="R41" s="318" t="s">
        <v>309</v>
      </c>
      <c r="S41" s="319">
        <f>S39+S37</f>
        <v>-4735.7395093330369</v>
      </c>
      <c r="T41" s="320" t="s">
        <v>84</v>
      </c>
      <c r="U41"/>
      <c r="V41" s="476" t="s">
        <v>97</v>
      </c>
      <c r="W41" s="477"/>
      <c r="X41" s="477"/>
      <c r="Y41" s="477"/>
      <c r="Z41" s="477"/>
      <c r="AA41" s="478"/>
      <c r="AD41" s="368">
        <v>900</v>
      </c>
      <c r="AE41" s="330">
        <v>699.3</v>
      </c>
      <c r="AF41" s="263">
        <v>21.21</v>
      </c>
      <c r="AG41" s="366">
        <f t="shared" si="0"/>
        <v>0.42420000000000002</v>
      </c>
      <c r="AJ41" s="357">
        <v>30</v>
      </c>
      <c r="AK41" s="93">
        <f t="shared" si="2"/>
        <v>14.676473680020317</v>
      </c>
      <c r="AL41" s="334">
        <f t="shared" si="1"/>
        <v>0.18696144815312507</v>
      </c>
      <c r="AM41" s="133">
        <f t="shared" si="3"/>
        <v>1283.3280070416968</v>
      </c>
      <c r="AN41" s="13">
        <v>8.81</v>
      </c>
      <c r="AO41" s="330">
        <f>4852/1000</f>
        <v>4.8520000000000003</v>
      </c>
      <c r="AP41" s="174">
        <v>149.80000000000001</v>
      </c>
      <c r="AQ41" s="211">
        <v>31.55</v>
      </c>
      <c r="AR41" s="330">
        <f>16793/1000</f>
        <v>16.792999999999999</v>
      </c>
      <c r="AS41" s="176">
        <v>495.85</v>
      </c>
      <c r="AT41" s="13">
        <v>40.11</v>
      </c>
      <c r="AU41" s="330">
        <f>21341/1000</f>
        <v>21.341000000000001</v>
      </c>
      <c r="AV41" s="174">
        <v>545.98</v>
      </c>
      <c r="AW41" s="9">
        <v>46.59</v>
      </c>
      <c r="AX41" s="330">
        <f>24789/1000</f>
        <v>24.789000000000001</v>
      </c>
      <c r="AY41" s="356">
        <v>383.93</v>
      </c>
    </row>
    <row r="42" spans="4:54" ht="16.2" customHeight="1" x14ac:dyDescent="0.3">
      <c r="D42" s="635"/>
      <c r="E42" s="483"/>
      <c r="F42" s="102">
        <f>F41*100^3</f>
        <v>7.7671851418869595</v>
      </c>
      <c r="G42" s="26" t="s">
        <v>106</v>
      </c>
      <c r="I42" s="627"/>
      <c r="J42" s="507"/>
      <c r="K42" s="628"/>
      <c r="L42" s="628"/>
      <c r="O42" s="607"/>
      <c r="P42" s="614" t="s">
        <v>169</v>
      </c>
      <c r="Q42" s="614"/>
      <c r="R42" s="308" t="s">
        <v>310</v>
      </c>
      <c r="S42" s="309">
        <f>S40+S38</f>
        <v>-2734.1804805253732</v>
      </c>
      <c r="T42" s="310" t="s">
        <v>84</v>
      </c>
      <c r="U42"/>
      <c r="V42" s="620" t="s">
        <v>184</v>
      </c>
      <c r="W42" s="621"/>
      <c r="X42" s="621"/>
      <c r="Y42" s="172" t="s">
        <v>8</v>
      </c>
      <c r="Z42" s="172">
        <v>20</v>
      </c>
      <c r="AA42" s="90" t="s">
        <v>185</v>
      </c>
      <c r="AD42" s="368">
        <v>1000</v>
      </c>
      <c r="AE42" s="330">
        <v>686.36</v>
      </c>
      <c r="AF42" s="263">
        <v>19.93</v>
      </c>
      <c r="AG42" s="366">
        <f t="shared" si="0"/>
        <v>0.39860000000000001</v>
      </c>
      <c r="AJ42" s="357">
        <v>35</v>
      </c>
      <c r="AK42" s="93">
        <f t="shared" si="2"/>
        <v>17.122552626690371</v>
      </c>
      <c r="AL42" s="334">
        <f t="shared" si="1"/>
        <v>0.21812168951197924</v>
      </c>
      <c r="AM42" s="133">
        <f t="shared" si="3"/>
        <v>997.97129519995497</v>
      </c>
      <c r="AN42" s="13"/>
      <c r="AO42" s="330"/>
      <c r="AP42" s="174"/>
      <c r="AQ42" s="211">
        <v>34.6</v>
      </c>
      <c r="AR42" s="330">
        <f>17182/1000</f>
        <v>17.181999999999999</v>
      </c>
      <c r="AS42" s="176">
        <v>465.01</v>
      </c>
      <c r="AT42" s="13">
        <v>42.09</v>
      </c>
      <c r="AU42" s="330">
        <f>20901/1000</f>
        <v>20.901</v>
      </c>
      <c r="AV42" s="174">
        <v>460.36</v>
      </c>
      <c r="AW42" s="9">
        <v>47.36</v>
      </c>
      <c r="AX42" s="330">
        <f>23514/1000</f>
        <v>23.513999999999999</v>
      </c>
      <c r="AY42" s="356">
        <v>295.42</v>
      </c>
    </row>
    <row r="43" spans="4:54" ht="14.4" customHeight="1" x14ac:dyDescent="0.3">
      <c r="I43" s="627"/>
      <c r="J43" s="507"/>
      <c r="K43" s="628"/>
      <c r="L43" s="628"/>
      <c r="M43" s="20"/>
      <c r="O43" s="608"/>
      <c r="P43" s="614" t="s">
        <v>154</v>
      </c>
      <c r="Q43" s="614"/>
      <c r="R43" s="308" t="s">
        <v>311</v>
      </c>
      <c r="S43" s="311">
        <f>SQRT(S42^2+S41^2)</f>
        <v>5468.3609610507492</v>
      </c>
      <c r="T43" s="312" t="s">
        <v>84</v>
      </c>
      <c r="U43" s="198"/>
      <c r="V43" s="459" t="s">
        <v>234</v>
      </c>
      <c r="W43" s="470"/>
      <c r="X43" s="470"/>
      <c r="Y43" s="92" t="s">
        <v>174</v>
      </c>
      <c r="Z43" s="98">
        <f>K17/K19</f>
        <v>0.53156241002747739</v>
      </c>
      <c r="AA43" s="99"/>
      <c r="AD43" s="368">
        <v>1200</v>
      </c>
      <c r="AE43" s="330">
        <v>656.29</v>
      </c>
      <c r="AF43" s="263">
        <v>17.79</v>
      </c>
      <c r="AG43" s="366">
        <f t="shared" si="0"/>
        <v>0.35580000000000001</v>
      </c>
      <c r="AJ43" s="357">
        <v>40</v>
      </c>
      <c r="AK43" s="93">
        <f t="shared" si="2"/>
        <v>19.568631573360424</v>
      </c>
      <c r="AL43" s="334">
        <f t="shared" si="1"/>
        <v>0.24928193087083342</v>
      </c>
      <c r="AM43" s="133">
        <f t="shared" si="3"/>
        <v>712.61458335821317</v>
      </c>
      <c r="AN43" s="333">
        <v>13.43</v>
      </c>
      <c r="AO43" s="339">
        <f>6283/1000</f>
        <v>6.2830000000000004</v>
      </c>
      <c r="AP43" s="174">
        <v>172.33</v>
      </c>
      <c r="AQ43" s="211">
        <v>37.299999999999997</v>
      </c>
      <c r="AR43" s="330">
        <f>17437/1000</f>
        <v>17.437000000000001</v>
      </c>
      <c r="AS43" s="176">
        <v>420.36</v>
      </c>
      <c r="AT43" s="13">
        <v>43.72</v>
      </c>
      <c r="AU43" s="330">
        <f>20435/1000</f>
        <v>20.434999999999999</v>
      </c>
      <c r="AV43" s="174">
        <v>378.25</v>
      </c>
      <c r="AW43" s="9">
        <v>47.96</v>
      </c>
      <c r="AX43" s="330">
        <f>22414/1000</f>
        <v>22.414000000000001</v>
      </c>
      <c r="AY43" s="356">
        <v>225.21</v>
      </c>
    </row>
    <row r="44" spans="4:54" ht="14.4" customHeight="1" x14ac:dyDescent="0.3">
      <c r="I44" s="109" t="s">
        <v>103</v>
      </c>
      <c r="J44" s="110" t="s">
        <v>104</v>
      </c>
      <c r="K44" s="111">
        <f>K18*F33/1000</f>
        <v>0.1165077771283044</v>
      </c>
      <c r="L44" s="112" t="s">
        <v>197</v>
      </c>
      <c r="O44" s="548" t="s">
        <v>304</v>
      </c>
      <c r="P44" s="551" t="s">
        <v>294</v>
      </c>
      <c r="Q44" s="321" t="s">
        <v>292</v>
      </c>
      <c r="R44" s="322" t="s">
        <v>312</v>
      </c>
      <c r="S44" s="323">
        <f>K24*L9/1000^2*(L4-L7)*(SIN(RADIANS(-30+((L12-N6*2)/2)))-SIN(RADIANS(330-((L12-N6*2)/2))))</f>
        <v>3494.778399673346</v>
      </c>
      <c r="T44" s="275" t="s">
        <v>84</v>
      </c>
      <c r="V44" s="622"/>
      <c r="W44" s="623"/>
      <c r="X44" s="623"/>
      <c r="Y44" s="89" t="s">
        <v>175</v>
      </c>
      <c r="Z44" s="98">
        <f>F26*F9/K18*(L9/R18)^2</f>
        <v>1.5198560521111114E-2</v>
      </c>
      <c r="AA44" s="100"/>
      <c r="AD44" s="368">
        <v>1500</v>
      </c>
      <c r="AE44" s="330">
        <v>608.58000000000004</v>
      </c>
      <c r="AF44" s="263">
        <v>15.33</v>
      </c>
      <c r="AG44" s="366">
        <f t="shared" si="0"/>
        <v>0.30659999999999998</v>
      </c>
      <c r="AJ44" s="357">
        <v>45</v>
      </c>
      <c r="AK44" s="93">
        <f t="shared" si="2"/>
        <v>22.014710520030476</v>
      </c>
      <c r="AL44" s="334">
        <f t="shared" si="1"/>
        <v>0.28044217222968759</v>
      </c>
      <c r="AM44" s="133">
        <f t="shared" si="3"/>
        <v>427.25787151647148</v>
      </c>
      <c r="AN44" s="128"/>
      <c r="AO44" s="128"/>
      <c r="AP44" s="174"/>
      <c r="AQ44" s="214">
        <v>39.700000000000003</v>
      </c>
      <c r="AR44" s="339">
        <f>17682/1000</f>
        <v>17.681999999999999</v>
      </c>
      <c r="AS44" s="176">
        <v>366.18</v>
      </c>
      <c r="AT44" s="333">
        <v>45.07</v>
      </c>
      <c r="AU44" s="128">
        <f>20068/1000</f>
        <v>20.068000000000001</v>
      </c>
      <c r="AV44" s="174">
        <v>302.25</v>
      </c>
      <c r="AW44" s="330">
        <v>48.43</v>
      </c>
      <c r="AX44" s="339">
        <f>21561/1000</f>
        <v>21.561</v>
      </c>
      <c r="AY44" s="356">
        <v>169.06</v>
      </c>
    </row>
    <row r="45" spans="4:54" ht="14.4" customHeight="1" thickBot="1" x14ac:dyDescent="0.35">
      <c r="M45" s="19"/>
      <c r="O45" s="549"/>
      <c r="P45" s="552"/>
      <c r="Q45" s="313" t="s">
        <v>293</v>
      </c>
      <c r="R45" s="313" t="s">
        <v>313</v>
      </c>
      <c r="S45" s="314">
        <f>K24*L9/1000^2*(L4-L7)*(-COS(RADIANS(-30+((L12-N6*2)/2)))+COS(RADIANS(330-((L12-N6*2)/2))))</f>
        <v>-2017.7112498094975</v>
      </c>
      <c r="T45" s="303" t="s">
        <v>84</v>
      </c>
      <c r="V45" s="622"/>
      <c r="W45" s="623"/>
      <c r="X45" s="623"/>
      <c r="Y45" s="89" t="s">
        <v>178</v>
      </c>
      <c r="Z45" s="98">
        <f>Z43/(1-Z43)</f>
        <v>1.1347560943148425</v>
      </c>
      <c r="AA45" s="100"/>
      <c r="AD45" s="369">
        <v>2000</v>
      </c>
      <c r="AE45" s="350">
        <v>535.34</v>
      </c>
      <c r="AF45" s="370">
        <v>12.45</v>
      </c>
      <c r="AG45" s="371">
        <f t="shared" si="0"/>
        <v>0.249</v>
      </c>
      <c r="AI45" s="189"/>
      <c r="AJ45" s="360">
        <v>50</v>
      </c>
      <c r="AK45" s="346">
        <f t="shared" si="2"/>
        <v>24.460789466700529</v>
      </c>
      <c r="AL45" s="347">
        <f t="shared" si="1"/>
        <v>0.31160241358854179</v>
      </c>
      <c r="AM45" s="348">
        <f t="shared" si="3"/>
        <v>141.90115967472968</v>
      </c>
      <c r="AN45" s="349">
        <v>19.559999999999999</v>
      </c>
      <c r="AO45" s="350">
        <f>8439/1000</f>
        <v>8.4390000000000001</v>
      </c>
      <c r="AP45" s="351">
        <v>192.46</v>
      </c>
      <c r="AQ45" s="352">
        <v>41.87</v>
      </c>
      <c r="AR45" s="350">
        <f>18021/1000</f>
        <v>18.021000000000001</v>
      </c>
      <c r="AS45" s="353">
        <v>305.95999999999998</v>
      </c>
      <c r="AT45" s="349">
        <v>46.21</v>
      </c>
      <c r="AU45" s="350">
        <f>19888/1000</f>
        <v>19.888000000000002</v>
      </c>
      <c r="AV45" s="351">
        <v>233.49</v>
      </c>
      <c r="AW45" s="350">
        <v>48.81</v>
      </c>
      <c r="AX45" s="350">
        <f>21004/1000</f>
        <v>21.004000000000001</v>
      </c>
      <c r="AY45" s="361">
        <v>123.86</v>
      </c>
    </row>
    <row r="46" spans="4:54" ht="14.4" customHeight="1" x14ac:dyDescent="0.3">
      <c r="E46" s="19"/>
      <c r="M46" s="19"/>
      <c r="O46" s="549"/>
      <c r="P46" s="553" t="s">
        <v>295</v>
      </c>
      <c r="Q46" s="321" t="s">
        <v>292</v>
      </c>
      <c r="R46" s="322" t="s">
        <v>314</v>
      </c>
      <c r="S46" s="323">
        <f>K24/2*L4*L9/1000^2*((SIN(RADIANS(330-((L12-N6*2)/2)))-SIN(RADIANS(330-((L12-N6*2)/2)-N6)))+(SIN(RADIANS(-30+((L12-N6*2)/2)+N6))-SIN(RADIANS(-30+((L12-N6*2)/2)))))</f>
        <v>1240.9611096596923</v>
      </c>
      <c r="T46" s="275" t="s">
        <v>84</v>
      </c>
      <c r="V46" s="622"/>
      <c r="W46" s="623"/>
      <c r="X46" s="623"/>
      <c r="Y46" s="92" t="s">
        <v>179</v>
      </c>
      <c r="Z46" s="98">
        <f>F7*L6*(L5-L6)/(PI()*2*L9*L7)</f>
        <v>0.51333333333333342</v>
      </c>
      <c r="AA46" s="100"/>
      <c r="AI46" s="190"/>
      <c r="AJ46" s="27"/>
      <c r="AK46" s="170"/>
      <c r="AQ46" s="27"/>
    </row>
    <row r="47" spans="4:54" ht="15.6" customHeight="1" x14ac:dyDescent="0.3">
      <c r="M47" s="131" t="s">
        <v>232</v>
      </c>
      <c r="O47" s="549"/>
      <c r="P47" s="552"/>
      <c r="Q47" s="313" t="s">
        <v>293</v>
      </c>
      <c r="R47" s="313" t="s">
        <v>315</v>
      </c>
      <c r="S47" s="314">
        <f>K24/2*L4*L9/1000^2*((-COS(RADIANS(330-((L12-N6*2)/2)))+COS(RADIANS(330-((L12-N6*2)/2)-N6)))+(-COS(RADIANS(-30+((L12-N6*2)/2)+N6))+COS(RADIANS(-30+((L12-N6*2)/2)))))</f>
        <v>-716.46923071587901</v>
      </c>
      <c r="T47" s="303" t="s">
        <v>84</v>
      </c>
      <c r="V47" s="459" t="s">
        <v>4</v>
      </c>
      <c r="W47" s="470"/>
      <c r="X47" s="470"/>
      <c r="Y47" s="388" t="s">
        <v>84</v>
      </c>
      <c r="Z47" s="390">
        <v>300</v>
      </c>
      <c r="AA47" s="27" t="s">
        <v>5</v>
      </c>
      <c r="AI47" s="190"/>
    </row>
    <row r="48" spans="4:54" ht="15" thickBot="1" x14ac:dyDescent="0.35">
      <c r="O48" s="549"/>
      <c r="P48" s="554" t="s">
        <v>210</v>
      </c>
      <c r="Q48" s="555"/>
      <c r="R48" s="322" t="s">
        <v>316</v>
      </c>
      <c r="S48" s="323">
        <f>S46+S44</f>
        <v>4735.7395093330379</v>
      </c>
      <c r="T48" s="275" t="s">
        <v>84</v>
      </c>
      <c r="V48" s="459" t="s">
        <v>188</v>
      </c>
      <c r="W48" s="470"/>
      <c r="X48" s="470"/>
      <c r="Y48" s="92" t="s">
        <v>180</v>
      </c>
      <c r="Z48" s="98">
        <f>K18*L4/1000*2*L9/1000/R18*3/2*F7^2/PI()*SIN(PI()/F7)^2*(1-L6/L4)*Z43/(Z45+1+2*Z46*SIN(PI()/F7)^2)/1000</f>
        <v>388.36326663603688</v>
      </c>
      <c r="AA48" s="90" t="s">
        <v>94</v>
      </c>
      <c r="AI48" s="190"/>
      <c r="AN48" s="128"/>
      <c r="AO48" s="128"/>
      <c r="AP48" s="128"/>
    </row>
    <row r="49" spans="6:59" x14ac:dyDescent="0.3">
      <c r="O49" s="549"/>
      <c r="P49" s="556" t="s">
        <v>169</v>
      </c>
      <c r="Q49" s="556"/>
      <c r="R49" s="313" t="s">
        <v>317</v>
      </c>
      <c r="S49" s="314">
        <f>S47+S45</f>
        <v>-2734.1804805253764</v>
      </c>
      <c r="T49" s="303" t="s">
        <v>84</v>
      </c>
      <c r="V49" s="459" t="s">
        <v>193</v>
      </c>
      <c r="W49" s="470"/>
      <c r="X49" s="470"/>
      <c r="Y49" s="92" t="s">
        <v>181</v>
      </c>
      <c r="Z49" s="98">
        <f>K18*L5/1000*2*L9/1000/R18*12*F7^2*SIN(PI()/F7)^2*(L6/L5)*(L5/2/L9)^2*(1-L6/L5)^2/(Z45+1+2*Z46*SIN(PI()/F7)^2)*Z44/1000</f>
        <v>9.1807915988060902</v>
      </c>
      <c r="AA49" s="90" t="s">
        <v>94</v>
      </c>
      <c r="AD49" s="572" t="s">
        <v>272</v>
      </c>
      <c r="AE49" s="573"/>
      <c r="AF49" s="573"/>
      <c r="AG49" s="573"/>
      <c r="AH49" s="574"/>
      <c r="AI49" s="186"/>
      <c r="AN49" s="128"/>
      <c r="AO49" s="128"/>
      <c r="AP49" s="128"/>
    </row>
    <row r="50" spans="6:59" ht="15.6" x14ac:dyDescent="0.3">
      <c r="N50" s="131" t="s">
        <v>231</v>
      </c>
      <c r="O50" s="550"/>
      <c r="P50" s="556" t="s">
        <v>154</v>
      </c>
      <c r="Q50" s="556"/>
      <c r="R50" s="313" t="s">
        <v>318</v>
      </c>
      <c r="S50" s="315">
        <f>SQRT(S49^2+S48^2)</f>
        <v>5468.3609610507519</v>
      </c>
      <c r="T50" s="316" t="s">
        <v>84</v>
      </c>
      <c r="V50" s="459" t="s">
        <v>189</v>
      </c>
      <c r="W50" s="470"/>
      <c r="X50" s="470"/>
      <c r="Y50" s="89" t="s">
        <v>182</v>
      </c>
      <c r="Z50" s="98">
        <f>Z49/PI()/F9</f>
        <v>0.58446734577861359</v>
      </c>
      <c r="AA50" s="90" t="s">
        <v>183</v>
      </c>
      <c r="AD50" s="357"/>
      <c r="AE50" s="279" t="s">
        <v>253</v>
      </c>
      <c r="AF50" s="280" t="s">
        <v>254</v>
      </c>
      <c r="AG50" s="177" t="s">
        <v>275</v>
      </c>
      <c r="AH50" s="372" t="s">
        <v>276</v>
      </c>
      <c r="AI50" s="186"/>
      <c r="AN50" s="128"/>
      <c r="AO50" s="128"/>
      <c r="AP50" s="128"/>
    </row>
    <row r="51" spans="6:59" s="127" customFormat="1" ht="18" customHeight="1" x14ac:dyDescent="0.3">
      <c r="N51"/>
      <c r="O51" s="606" t="s">
        <v>287</v>
      </c>
      <c r="P51" s="547" t="s">
        <v>210</v>
      </c>
      <c r="Q51" s="547"/>
      <c r="R51" s="306" t="s">
        <v>212</v>
      </c>
      <c r="S51" s="324">
        <f>S48+S41+S34</f>
        <v>8.4313538482379389E-13</v>
      </c>
      <c r="T51" s="325" t="s">
        <v>84</v>
      </c>
      <c r="U51" s="302"/>
      <c r="V51" s="459" t="s">
        <v>190</v>
      </c>
      <c r="W51" s="470"/>
      <c r="X51" s="470"/>
      <c r="Y51" s="457" t="s">
        <v>186</v>
      </c>
      <c r="Z51" s="98">
        <f>SQRT(Z48/Z42*10^6)</f>
        <v>4406.6045127514953</v>
      </c>
      <c r="AA51" s="90" t="s">
        <v>176</v>
      </c>
      <c r="AB51" s="343"/>
      <c r="AC51" s="304"/>
      <c r="AD51" s="373" t="s">
        <v>252</v>
      </c>
      <c r="AE51" s="333" t="s">
        <v>239</v>
      </c>
      <c r="AF51" s="276" t="s">
        <v>239</v>
      </c>
      <c r="AG51" s="335" t="s">
        <v>239</v>
      </c>
      <c r="AH51" s="374" t="s">
        <v>239</v>
      </c>
      <c r="AI51" s="186"/>
      <c r="AN51" s="128"/>
      <c r="AO51" s="128"/>
      <c r="AP51" s="128"/>
    </row>
    <row r="52" spans="6:59" ht="18" customHeight="1" x14ac:dyDescent="0.3">
      <c r="O52" s="607"/>
      <c r="P52" s="546" t="s">
        <v>169</v>
      </c>
      <c r="Q52" s="546"/>
      <c r="R52" s="307" t="s">
        <v>211</v>
      </c>
      <c r="S52" s="340">
        <f>S49+S42+S35</f>
        <v>0</v>
      </c>
      <c r="T52" s="341" t="s">
        <v>84</v>
      </c>
      <c r="V52" s="459"/>
      <c r="W52" s="470"/>
      <c r="X52" s="470"/>
      <c r="Y52" s="457"/>
      <c r="Z52" s="98">
        <f>Z51/2/PI()</f>
        <v>701.33289045545348</v>
      </c>
      <c r="AA52" s="126" t="s">
        <v>236</v>
      </c>
      <c r="AD52" s="375">
        <v>0.5</v>
      </c>
      <c r="AE52" s="277">
        <v>202.35</v>
      </c>
      <c r="AF52" s="278">
        <v>305.3</v>
      </c>
      <c r="AG52" s="264">
        <v>593.04999999999995</v>
      </c>
      <c r="AH52" s="376">
        <v>709.48</v>
      </c>
      <c r="AI52" s="186"/>
      <c r="AN52" s="128"/>
      <c r="AO52" s="128"/>
      <c r="AP52" s="128"/>
    </row>
    <row r="53" spans="6:59" ht="18" customHeight="1" x14ac:dyDescent="0.3">
      <c r="O53" s="608"/>
      <c r="P53" s="615" t="s">
        <v>154</v>
      </c>
      <c r="Q53" s="615"/>
      <c r="R53" s="130" t="s">
        <v>82</v>
      </c>
      <c r="S53" s="326">
        <f>SQRT(S51^2+S52^2)</f>
        <v>8.4313538482379389E-13</v>
      </c>
      <c r="T53" s="327" t="s">
        <v>84</v>
      </c>
      <c r="V53" s="616" t="s">
        <v>187</v>
      </c>
      <c r="W53" s="617"/>
      <c r="X53" s="617"/>
      <c r="Y53" s="171" t="s">
        <v>85</v>
      </c>
      <c r="Z53" s="102">
        <f>0.5*Z50*Z51/Z48</f>
        <v>3.3158600010922621</v>
      </c>
      <c r="AA53" s="96"/>
      <c r="AD53" s="357">
        <v>0.6</v>
      </c>
      <c r="AE53" s="128">
        <v>358.29</v>
      </c>
      <c r="AF53" s="128">
        <v>495.53</v>
      </c>
      <c r="AG53" s="128">
        <v>711.65</v>
      </c>
      <c r="AH53" s="362">
        <v>665.75</v>
      </c>
      <c r="AI53" s="186"/>
      <c r="AN53" s="128"/>
      <c r="AO53" s="128"/>
      <c r="AP53" s="128"/>
    </row>
    <row r="54" spans="6:59" x14ac:dyDescent="0.3">
      <c r="Y54" s="9" t="s">
        <v>105</v>
      </c>
      <c r="Z54">
        <f>2*(L4+L5-L6-L7)*L6^3/(R18)^3/10^6</f>
        <v>3849.0304230046522</v>
      </c>
      <c r="AD54" s="357">
        <v>0.7</v>
      </c>
      <c r="AE54" s="128">
        <v>524.42999999999995</v>
      </c>
      <c r="AF54" s="128">
        <v>648.45000000000005</v>
      </c>
      <c r="AG54" s="128">
        <v>678.42</v>
      </c>
      <c r="AH54" s="362">
        <v>520.74</v>
      </c>
      <c r="AI54" s="191"/>
      <c r="AN54" s="128"/>
      <c r="AO54" s="128"/>
      <c r="AP54" s="128"/>
    </row>
    <row r="55" spans="6:59" x14ac:dyDescent="0.3">
      <c r="O55" s="436"/>
      <c r="P55" s="438"/>
      <c r="Q55" s="438"/>
      <c r="R55" s="438"/>
      <c r="S55" s="438"/>
      <c r="T55" s="440"/>
      <c r="Z55">
        <f>2*(75+125-20)*10^3/(30*10^3)^3</f>
        <v>1.3333333333333334E-8</v>
      </c>
      <c r="AD55" s="357">
        <v>0.8</v>
      </c>
      <c r="AE55" s="333">
        <v>653.02</v>
      </c>
      <c r="AF55" s="276">
        <v>713.98</v>
      </c>
      <c r="AG55" s="335">
        <v>563.14</v>
      </c>
      <c r="AH55" s="377">
        <v>375.94</v>
      </c>
      <c r="AN55" s="128"/>
      <c r="AO55" s="128"/>
      <c r="AP55" s="128"/>
      <c r="AQ55" s="198"/>
      <c r="AR55" s="198"/>
      <c r="AS55" s="198"/>
      <c r="AT55" s="198"/>
      <c r="AU55" s="198"/>
    </row>
    <row r="56" spans="6:59" x14ac:dyDescent="0.3">
      <c r="F56" t="s">
        <v>358</v>
      </c>
      <c r="O56" s="435" t="s">
        <v>353</v>
      </c>
      <c r="P56" s="437" t="s">
        <v>354</v>
      </c>
      <c r="Q56" s="437" t="s">
        <v>358</v>
      </c>
      <c r="R56" s="437" t="s">
        <v>356</v>
      </c>
      <c r="S56" s="441" t="s">
        <v>355</v>
      </c>
      <c r="T56" s="439" t="s">
        <v>357</v>
      </c>
      <c r="V56" s="605" t="s">
        <v>327</v>
      </c>
      <c r="W56" s="605"/>
      <c r="X56" s="605"/>
      <c r="Y56" s="605"/>
      <c r="Z56" s="605"/>
      <c r="AA56" s="605"/>
      <c r="AD56" s="357">
        <v>0.9</v>
      </c>
      <c r="AE56" s="128">
        <v>712.29</v>
      </c>
      <c r="AF56" s="128">
        <v>691.6</v>
      </c>
      <c r="AG56" s="128">
        <v>435.11</v>
      </c>
      <c r="AH56" s="362">
        <v>264.72000000000003</v>
      </c>
      <c r="AN56" s="128"/>
      <c r="AO56" s="128"/>
      <c r="AP56" s="128"/>
      <c r="AQ56" s="128"/>
      <c r="AR56" s="128"/>
      <c r="AS56" s="128"/>
      <c r="AT56" s="128"/>
    </row>
    <row r="57" spans="6:59" x14ac:dyDescent="0.3">
      <c r="F57" s="18">
        <v>-5.0653925498522766E-18</v>
      </c>
      <c r="O57" s="435">
        <f>-$Z$52*($Z$53-SQRT($Z$53^2-1))*T57</f>
        <v>0</v>
      </c>
      <c r="P57" s="437">
        <f>-$Z$52*($Z$53+SQRT($Z$53^2-1))*T57</f>
        <v>0</v>
      </c>
      <c r="Q57" s="47">
        <f>$S$57*(1+(EXP(O57)/(2*SQRT($Z$53^2-1)*(SQRT($Z$53^2-1)-$Z$53)))+(EXP(P57)/(2*SQRT($Z$53^2-1)*(SQRT($Z$53^2-1)+$Z$53))))</f>
        <v>-2.9143354396410358E-18</v>
      </c>
      <c r="R57" s="437">
        <f>$S$57*$Z$52^2/(2*SQRT($Z$53^2-1))*(EXP(O57)-EXP(P57))</f>
        <v>0</v>
      </c>
      <c r="S57" s="437">
        <v>0.02</v>
      </c>
      <c r="T57" s="439">
        <v>0</v>
      </c>
      <c r="V57" s="392" t="s">
        <v>328</v>
      </c>
      <c r="W57" s="18">
        <f>1-Z58^2</f>
        <v>0.99994917333718725</v>
      </c>
      <c r="X57" s="392"/>
      <c r="Y57" s="397" t="s">
        <v>329</v>
      </c>
      <c r="Z57" s="18">
        <f>F9*2*PI()</f>
        <v>31.415926535897931</v>
      </c>
      <c r="AA57" s="392" t="s">
        <v>176</v>
      </c>
      <c r="AD57" s="375">
        <v>1</v>
      </c>
      <c r="AE57" s="277">
        <v>701.69</v>
      </c>
      <c r="AF57" s="278">
        <v>614.04</v>
      </c>
      <c r="AG57" s="264">
        <v>326.04000000000002</v>
      </c>
      <c r="AH57" s="376">
        <v>186.69</v>
      </c>
      <c r="AN57" s="128"/>
      <c r="AO57" s="128"/>
      <c r="AP57" s="128"/>
      <c r="AQ57" s="128"/>
      <c r="AR57" s="128"/>
      <c r="AS57" s="128"/>
      <c r="AT57" s="128"/>
    </row>
    <row r="58" spans="6:59" s="125" customFormat="1" x14ac:dyDescent="0.3">
      <c r="F58" s="18">
        <v>1.2373366045802792E-2</v>
      </c>
      <c r="O58" s="435">
        <f t="shared" ref="O58:O89" si="4">-$Z$52*($Z$53-SQRT($Z$53^2-1))*T58</f>
        <v>-1.082749051281227</v>
      </c>
      <c r="P58" s="437">
        <f t="shared" ref="P58:P89" si="5">-$Z$52*($Z$53+SQRT($Z$53^2-1))*T58</f>
        <v>-45.427684526951964</v>
      </c>
      <c r="Q58" s="47">
        <f t="shared" ref="Q58:Q121" si="6">$S$57*(1+(EXP(O58)/(2*SQRT($Z$53^2-1)*(SQRT($Z$53^2-1)-$Z$53)))+(EXP(P58)/(2*SQRT($Z$53^2-1)*(SQRT($Z$53^2-1)+$Z$53))))</f>
        <v>1.3061355592962714E-2</v>
      </c>
      <c r="R58" s="437">
        <f t="shared" ref="R58:R121" si="7">$S$57*$Z$52^2/(2*SQRT($Z$53^2-1))*(EXP(O58)-EXP(P58))</f>
        <v>526.89812078357329</v>
      </c>
      <c r="S58" s="437"/>
      <c r="T58" s="383">
        <v>0.01</v>
      </c>
      <c r="U58" s="302"/>
      <c r="V58" s="392" t="s">
        <v>30</v>
      </c>
      <c r="W58" s="18">
        <f>2*Z53*Z58</f>
        <v>4.7279402495139011E-2</v>
      </c>
      <c r="X58" s="392"/>
      <c r="Y58" s="397" t="s">
        <v>330</v>
      </c>
      <c r="Z58" s="18">
        <f>Z57/Z51</f>
        <v>7.1292820685380145E-3</v>
      </c>
      <c r="AA58" s="392"/>
      <c r="AB58" s="343"/>
      <c r="AC58" s="304"/>
      <c r="AD58" s="357">
        <v>1.2</v>
      </c>
      <c r="AE58" s="333">
        <v>559.9</v>
      </c>
      <c r="AF58" s="276">
        <v>420.96</v>
      </c>
      <c r="AG58" s="335">
        <v>180.96</v>
      </c>
      <c r="AH58" s="377">
        <v>96.94</v>
      </c>
      <c r="AI58" s="185"/>
      <c r="AN58" s="128"/>
      <c r="AO58" s="128"/>
      <c r="AP58" s="128"/>
      <c r="AQ58" s="128"/>
      <c r="AR58" s="128"/>
      <c r="AS58" s="128"/>
      <c r="AT58" s="128"/>
    </row>
    <row r="59" spans="6:59" ht="15" thickBot="1" x14ac:dyDescent="0.35">
      <c r="F59" s="18">
        <v>1.7150363312898244E-2</v>
      </c>
      <c r="O59" s="435">
        <f t="shared" si="4"/>
        <v>-2.165498102562454</v>
      </c>
      <c r="P59" s="437">
        <f t="shared" si="5"/>
        <v>-90.855369053903928</v>
      </c>
      <c r="Q59" s="47">
        <f t="shared" si="6"/>
        <v>1.7650136188884506E-2</v>
      </c>
      <c r="R59" s="437">
        <f t="shared" si="7"/>
        <v>178.44102587507439</v>
      </c>
      <c r="S59" s="437"/>
      <c r="T59" s="383">
        <v>0.02</v>
      </c>
      <c r="V59" s="392" t="s">
        <v>331</v>
      </c>
      <c r="W59" s="18">
        <f>W57^2-W58^2+(Z49/Z48)^2</f>
        <v>0.99822184283250104</v>
      </c>
      <c r="X59" s="392"/>
      <c r="Y59" s="395"/>
      <c r="Z59" s="395"/>
      <c r="AA59" s="392"/>
      <c r="AD59" s="378">
        <v>1.4</v>
      </c>
      <c r="AE59" s="379">
        <v>392.7</v>
      </c>
      <c r="AF59" s="380">
        <v>269.89</v>
      </c>
      <c r="AG59" s="381">
        <v>104.07</v>
      </c>
      <c r="AH59" s="382">
        <v>54.06</v>
      </c>
      <c r="AQ59" s="125"/>
      <c r="AR59" s="125"/>
      <c r="AS59" s="125"/>
      <c r="AT59" s="125"/>
    </row>
    <row r="60" spans="6:59" x14ac:dyDescent="0.3">
      <c r="F60" s="18">
        <v>1.8935253835801663E-2</v>
      </c>
      <c r="O60" s="435">
        <f t="shared" si="4"/>
        <v>-3.2482471538436806</v>
      </c>
      <c r="P60" s="437">
        <f t="shared" si="5"/>
        <v>-136.28305358085589</v>
      </c>
      <c r="Q60" s="47">
        <f t="shared" si="6"/>
        <v>1.9204187503082032E-2</v>
      </c>
      <c r="R60" s="437">
        <f t="shared" si="7"/>
        <v>60.431416358055202</v>
      </c>
      <c r="S60" s="437"/>
      <c r="T60" s="383">
        <v>0.03</v>
      </c>
      <c r="V60" s="392" t="s">
        <v>332</v>
      </c>
      <c r="W60" s="18">
        <f>4*Z53*Z58*W57</f>
        <v>9.4553998881780801E-2</v>
      </c>
      <c r="X60" s="392"/>
      <c r="Y60" s="395"/>
      <c r="Z60" s="395"/>
      <c r="AA60" s="392"/>
      <c r="BG60" t="e">
        <f>SQRT(#REF!^2+#REF!^2)</f>
        <v>#REF!</v>
      </c>
    </row>
    <row r="61" spans="6:59" x14ac:dyDescent="0.3">
      <c r="F61" s="18">
        <v>1.9602165286786755E-2</v>
      </c>
      <c r="O61" s="435">
        <f t="shared" si="4"/>
        <v>-4.330996205124908</v>
      </c>
      <c r="P61" s="437">
        <f t="shared" si="5"/>
        <v>-181.71073810780786</v>
      </c>
      <c r="Q61" s="47">
        <f t="shared" si="6"/>
        <v>1.9730487559638545E-2</v>
      </c>
      <c r="R61" s="437">
        <f t="shared" si="7"/>
        <v>20.465899392426348</v>
      </c>
      <c r="S61" s="437"/>
      <c r="T61" s="383">
        <v>0.04</v>
      </c>
      <c r="V61" s="5" t="s">
        <v>335</v>
      </c>
      <c r="W61" s="5"/>
      <c r="X61" s="393" t="s">
        <v>336</v>
      </c>
      <c r="Y61" s="394"/>
      <c r="Z61" s="394"/>
      <c r="AA61" s="395"/>
      <c r="BB61" s="121"/>
      <c r="BG61" s="120"/>
    </row>
    <row r="62" spans="6:59" s="344" customFormat="1" x14ac:dyDescent="0.3">
      <c r="F62" s="18">
        <v>1.9851351933109211E-2</v>
      </c>
      <c r="O62" s="435">
        <f t="shared" si="4"/>
        <v>-5.413745256406135</v>
      </c>
      <c r="P62" s="437">
        <f t="shared" si="5"/>
        <v>-227.13842263475982</v>
      </c>
      <c r="Q62" s="47">
        <f t="shared" si="6"/>
        <v>1.9908726043143456E-2</v>
      </c>
      <c r="R62" s="437">
        <f t="shared" si="7"/>
        <v>6.9310478420565147</v>
      </c>
      <c r="S62" s="437"/>
      <c r="T62" s="383">
        <v>0.05</v>
      </c>
      <c r="V62" s="392" t="s">
        <v>333</v>
      </c>
      <c r="W62" s="18">
        <f>(Z49/Z48)/SQRT(W57^2+W58^2)</f>
        <v>2.3614521623802873E-2</v>
      </c>
      <c r="X62" s="403" t="s">
        <v>337</v>
      </c>
      <c r="Y62" s="98">
        <f>-1/TAN(W58/W57)</f>
        <v>-21.134021533373321</v>
      </c>
      <c r="Z62" s="396">
        <f>DEGREES(Y62)</f>
        <v>-1210.8902380008917</v>
      </c>
      <c r="AA62" s="395"/>
      <c r="AB62" s="343"/>
      <c r="AI62" s="185"/>
      <c r="BB62" s="121"/>
    </row>
    <row r="63" spans="6:59" s="344" customFormat="1" x14ac:dyDescent="0.3">
      <c r="F63" s="18">
        <v>1.9944458723544004E-2</v>
      </c>
      <c r="O63" s="435">
        <f t="shared" si="4"/>
        <v>-6.4964943076873611</v>
      </c>
      <c r="P63" s="437">
        <f t="shared" si="5"/>
        <v>-272.56610716171178</v>
      </c>
      <c r="Q63" s="47">
        <f t="shared" si="6"/>
        <v>1.9969088865845759E-2</v>
      </c>
      <c r="R63" s="437">
        <f t="shared" si="7"/>
        <v>2.347291133789795</v>
      </c>
      <c r="S63" s="437"/>
      <c r="T63" s="383">
        <v>0.06</v>
      </c>
      <c r="V63" s="397" t="s">
        <v>334</v>
      </c>
      <c r="W63" s="18">
        <f>SQRT((W57^2+W58^2)/(W59^2+W60^2))</f>
        <v>0.99838059839034932</v>
      </c>
      <c r="X63" s="403" t="s">
        <v>342</v>
      </c>
      <c r="Y63" s="98">
        <f>Y62-1/TAN(W60/W59)</f>
        <v>-31.659590052761935</v>
      </c>
      <c r="Z63" s="396">
        <f t="shared" ref="Z63:Z64" si="8">DEGREES(Y63)</f>
        <v>-1813.9608911376222</v>
      </c>
      <c r="AA63" s="395"/>
      <c r="AB63" s="343"/>
      <c r="AI63" s="185"/>
      <c r="BB63" s="121"/>
    </row>
    <row r="64" spans="6:59" s="344" customFormat="1" x14ac:dyDescent="0.3">
      <c r="F64" s="18">
        <v>1.9979247403246574E-2</v>
      </c>
      <c r="O64" s="435">
        <f t="shared" si="4"/>
        <v>-7.5792433589685899</v>
      </c>
      <c r="P64" s="437">
        <f t="shared" si="5"/>
        <v>-317.99379168866375</v>
      </c>
      <c r="Q64" s="47">
        <f t="shared" si="6"/>
        <v>1.9989531535088336E-2</v>
      </c>
      <c r="R64" s="437">
        <f t="shared" si="7"/>
        <v>0.79494122567380188</v>
      </c>
      <c r="S64" s="437"/>
      <c r="T64" s="383">
        <v>7.0000000000000007E-2</v>
      </c>
      <c r="V64" s="397" t="s">
        <v>338</v>
      </c>
      <c r="W64" s="389">
        <f>(Z49/Z48)/SQRT(W59^2+W60^2)</f>
        <v>2.3576280229474153E-2</v>
      </c>
      <c r="X64" s="403" t="s">
        <v>343</v>
      </c>
      <c r="Y64" s="98">
        <f>-1/TAN(W60/W59)</f>
        <v>-10.525568519388612</v>
      </c>
      <c r="Z64" s="396">
        <f t="shared" si="8"/>
        <v>-603.07065313673024</v>
      </c>
      <c r="AA64" s="395"/>
      <c r="AB64" s="343"/>
      <c r="AI64" s="185"/>
      <c r="BB64" s="121"/>
    </row>
    <row r="65" spans="6:59" s="344" customFormat="1" x14ac:dyDescent="0.3">
      <c r="F65" s="18">
        <v>1.9992245942126455E-2</v>
      </c>
      <c r="O65" s="435">
        <f t="shared" si="4"/>
        <v>-8.661992410249816</v>
      </c>
      <c r="P65" s="437">
        <f t="shared" si="5"/>
        <v>-363.42147621561571</v>
      </c>
      <c r="Q65" s="47">
        <f t="shared" si="6"/>
        <v>1.9996454715732529E-2</v>
      </c>
      <c r="R65" s="437">
        <f t="shared" si="7"/>
        <v>0.26921737281710323</v>
      </c>
      <c r="S65" s="437"/>
      <c r="T65" s="383">
        <v>0.08</v>
      </c>
      <c r="V65" s="27" t="s">
        <v>9</v>
      </c>
      <c r="W65" s="18"/>
      <c r="X65" s="27"/>
      <c r="Y65" s="27"/>
      <c r="Z65" s="18"/>
      <c r="AA65" s="27"/>
      <c r="AB65" s="343"/>
      <c r="AI65" s="185"/>
      <c r="BB65" s="121"/>
    </row>
    <row r="66" spans="6:59" x14ac:dyDescent="0.3">
      <c r="F66" s="18">
        <v>1.9997102752285861E-2</v>
      </c>
      <c r="O66" s="435">
        <f t="shared" si="4"/>
        <v>-9.7447414615310421</v>
      </c>
      <c r="P66" s="437">
        <f t="shared" si="5"/>
        <v>-408.84916074256762</v>
      </c>
      <c r="Q66" s="47">
        <f t="shared" si="6"/>
        <v>1.9998799342535584E-2</v>
      </c>
      <c r="R66" s="437">
        <f t="shared" si="7"/>
        <v>9.1174028325314141E-2</v>
      </c>
      <c r="S66" s="437"/>
      <c r="T66" s="383">
        <v>0.09</v>
      </c>
      <c r="V66" s="27"/>
      <c r="W66" s="27"/>
      <c r="X66" s="27"/>
      <c r="Y66" s="27"/>
      <c r="Z66" s="18"/>
      <c r="AA66" s="27"/>
      <c r="BB66" s="121"/>
      <c r="BG66" s="120"/>
    </row>
    <row r="67" spans="6:59" x14ac:dyDescent="0.3">
      <c r="F67" s="18">
        <v>1.9998917464319463E-2</v>
      </c>
      <c r="O67" s="435">
        <f t="shared" si="4"/>
        <v>-10.82749051281227</v>
      </c>
      <c r="P67" s="437">
        <f t="shared" si="5"/>
        <v>-454.27684526951964</v>
      </c>
      <c r="Q67" s="47">
        <f t="shared" si="6"/>
        <v>1.9999593381450371E-2</v>
      </c>
      <c r="R67" s="437">
        <f t="shared" si="7"/>
        <v>3.0877292033870813E-2</v>
      </c>
      <c r="S67" s="437"/>
      <c r="T67" s="439">
        <v>0.1</v>
      </c>
      <c r="V67" s="27"/>
      <c r="W67" s="27"/>
      <c r="X67" s="27"/>
      <c r="Y67" s="27"/>
      <c r="Z67" s="18"/>
      <c r="AA67" s="27"/>
      <c r="BB67" s="121"/>
      <c r="BG67" s="120"/>
    </row>
    <row r="68" spans="6:59" x14ac:dyDescent="0.3">
      <c r="F68" s="18">
        <v>1.9999595518362504E-2</v>
      </c>
      <c r="O68" s="435">
        <f t="shared" si="4"/>
        <v>-11.910239564093496</v>
      </c>
      <c r="P68" s="437">
        <f t="shared" si="5"/>
        <v>-499.7045297964716</v>
      </c>
      <c r="Q68" s="47">
        <f t="shared" si="6"/>
        <v>1.9999862293243659E-2</v>
      </c>
      <c r="R68" s="437">
        <f t="shared" si="7"/>
        <v>1.0457003829458238E-2</v>
      </c>
      <c r="S68" s="442"/>
      <c r="T68" s="439">
        <v>0.11</v>
      </c>
      <c r="BB68" s="121"/>
      <c r="BG68" s="120"/>
    </row>
    <row r="69" spans="6:59" x14ac:dyDescent="0.3">
      <c r="F69" s="18">
        <v>1.9999848868357865E-2</v>
      </c>
      <c r="O69" s="435">
        <f t="shared" si="4"/>
        <v>-12.992988615374722</v>
      </c>
      <c r="P69" s="437">
        <f t="shared" si="5"/>
        <v>-545.13221432342357</v>
      </c>
      <c r="Q69" s="47">
        <f t="shared" si="6"/>
        <v>1.9999953363783431E-2</v>
      </c>
      <c r="R69" s="437">
        <f t="shared" si="7"/>
        <v>3.5414028202134453E-3</v>
      </c>
      <c r="S69" s="442"/>
      <c r="T69" s="439">
        <v>0.12</v>
      </c>
      <c r="X69" s="27" t="s">
        <v>260</v>
      </c>
      <c r="BB69" s="121"/>
      <c r="BG69" s="120"/>
    </row>
    <row r="70" spans="6:59" x14ac:dyDescent="0.3">
      <c r="F70" s="18">
        <v>1.9999943530753597E-2</v>
      </c>
      <c r="O70" s="435">
        <f t="shared" si="4"/>
        <v>-14.075737666655952</v>
      </c>
      <c r="P70" s="437">
        <f t="shared" si="5"/>
        <v>-590.55989885037548</v>
      </c>
      <c r="Q70" s="47">
        <f t="shared" si="6"/>
        <v>1.9999984206027693E-2</v>
      </c>
      <c r="R70" s="437">
        <f t="shared" si="7"/>
        <v>1.1993429609048404E-3</v>
      </c>
      <c r="T70" s="439">
        <v>0.13</v>
      </c>
      <c r="X70" s="27">
        <f>64/3*L30/PI()/L31^4*(L4/L6+L5/L7-3)</f>
        <v>32638.764596721328</v>
      </c>
      <c r="BB70" s="121"/>
      <c r="BG70" s="120"/>
    </row>
    <row r="71" spans="6:59" x14ac:dyDescent="0.3">
      <c r="F71" s="18">
        <v>1.9999978900673978E-2</v>
      </c>
      <c r="O71" s="435">
        <f t="shared" si="4"/>
        <v>-15.15848671793718</v>
      </c>
      <c r="P71" s="437">
        <f t="shared" si="5"/>
        <v>-635.9875833773275</v>
      </c>
      <c r="Q71" s="47">
        <f t="shared" si="6"/>
        <v>1.9999994651162131E-2</v>
      </c>
      <c r="R71" s="443">
        <f t="shared" si="7"/>
        <v>4.0617337560749342E-4</v>
      </c>
      <c r="T71" s="439">
        <v>0.14000000000000001</v>
      </c>
      <c r="BB71" s="121"/>
      <c r="BG71" s="120"/>
    </row>
    <row r="72" spans="6:59" x14ac:dyDescent="0.3">
      <c r="F72" s="18">
        <v>1.999999211638924E-2</v>
      </c>
      <c r="O72" s="435">
        <f t="shared" si="4"/>
        <v>-16.241235769218402</v>
      </c>
      <c r="P72" s="437">
        <f t="shared" si="5"/>
        <v>-681.4152679042794</v>
      </c>
      <c r="Q72" s="47">
        <f t="shared" si="6"/>
        <v>1.9999998188545226E-2</v>
      </c>
      <c r="R72" s="443">
        <f t="shared" si="7"/>
        <v>1.3755599226423154E-4</v>
      </c>
      <c r="T72" s="439">
        <v>0.15</v>
      </c>
      <c r="W72" t="s">
        <v>261</v>
      </c>
      <c r="X72" s="239" t="s">
        <v>264</v>
      </c>
      <c r="Y72" t="s">
        <v>262</v>
      </c>
      <c r="BB72" s="121"/>
      <c r="BG72" s="120"/>
    </row>
    <row r="73" spans="6:59" x14ac:dyDescent="0.3">
      <c r="F73" s="18">
        <v>1.9999997054345787E-2</v>
      </c>
      <c r="O73" s="435">
        <f t="shared" si="4"/>
        <v>-17.323984820499632</v>
      </c>
      <c r="P73" s="437">
        <f t="shared" si="5"/>
        <v>-726.84295243123142</v>
      </c>
      <c r="Q73" s="47">
        <f t="shared" si="6"/>
        <v>1.9999999386526853E-2</v>
      </c>
      <c r="R73" s="443">
        <f t="shared" si="7"/>
        <v>4.6585158319392605E-5</v>
      </c>
      <c r="T73" s="439">
        <v>0.16</v>
      </c>
      <c r="W73"/>
      <c r="X73" s="31"/>
      <c r="Y73" s="31"/>
      <c r="BB73" s="121"/>
      <c r="BG73" s="120"/>
    </row>
    <row r="74" spans="6:59" x14ac:dyDescent="0.3">
      <c r="F74" s="18">
        <v>1.9999998899377581E-2</v>
      </c>
      <c r="O74" s="435">
        <f t="shared" si="4"/>
        <v>-18.406733871780858</v>
      </c>
      <c r="P74" s="437">
        <f t="shared" si="5"/>
        <v>-772.27063695818345</v>
      </c>
      <c r="Q74" s="47">
        <f t="shared" si="6"/>
        <v>1.9999999792239195E-2</v>
      </c>
      <c r="R74" s="443">
        <f t="shared" si="7"/>
        <v>1.5776680753203282E-5</v>
      </c>
      <c r="T74" s="439">
        <v>0.17</v>
      </c>
      <c r="W74">
        <v>5.0000000000000001E-3</v>
      </c>
      <c r="X74" s="31"/>
      <c r="Y74" s="31"/>
      <c r="BB74" s="121"/>
      <c r="BG74" s="120"/>
    </row>
    <row r="75" spans="6:59" x14ac:dyDescent="0.3">
      <c r="F75" s="18">
        <v>1.9999999588760382E-2</v>
      </c>
      <c r="O75" s="435">
        <f t="shared" si="4"/>
        <v>-19.489482923062084</v>
      </c>
      <c r="P75" s="437">
        <f t="shared" si="5"/>
        <v>-817.69832148513524</v>
      </c>
      <c r="Q75" s="47">
        <f t="shared" si="6"/>
        <v>1.9999999929639051E-2</v>
      </c>
      <c r="R75" s="443">
        <f t="shared" si="7"/>
        <v>5.3429818544779002E-6</v>
      </c>
      <c r="T75" s="444">
        <v>0.18</v>
      </c>
      <c r="U75" s="447" t="s">
        <v>359</v>
      </c>
      <c r="W75" s="173">
        <v>0.01</v>
      </c>
      <c r="X75" s="31">
        <f>$X$70*W75^2*(1+$X$70*W75^3)/((1+$X$70*W75^3)^2)/1000</f>
        <v>3.1607146386246512E-3</v>
      </c>
      <c r="Y75" s="31">
        <f t="shared" ref="Y75:Y89" si="9">$X$70*W75^2*(1+$X$70*W75^3)/((1+$X$70*W75^3)^2)/1000*AS14/10000</f>
        <v>0</v>
      </c>
      <c r="Z75" s="31">
        <f>$X$70*W75^2*(1+$X$70*W75^3)/((1+$X$70*W75^3)^2)*30</f>
        <v>94.821439158739537</v>
      </c>
      <c r="AA75" s="362">
        <v>0.01</v>
      </c>
      <c r="BB75" s="121"/>
      <c r="BG75" s="120"/>
    </row>
    <row r="76" spans="6:59" x14ac:dyDescent="0.3">
      <c r="F76" s="18">
        <v>1.9999999846343288E-2</v>
      </c>
      <c r="O76" s="435">
        <f t="shared" si="4"/>
        <v>-20.572231974343314</v>
      </c>
      <c r="P76" s="437">
        <f t="shared" si="5"/>
        <v>-863.12600601208726</v>
      </c>
      <c r="Q76" s="47">
        <f t="shared" si="6"/>
        <v>1.9999999976171336E-2</v>
      </c>
      <c r="R76" s="443">
        <f t="shared" si="7"/>
        <v>1.8094715576648627E-6</v>
      </c>
      <c r="T76" s="439">
        <v>0.19</v>
      </c>
      <c r="W76" s="173">
        <v>1.4999999999999999E-2</v>
      </c>
      <c r="X76" s="31">
        <f t="shared" ref="X76:X96" si="10">$X$70*W76^2*(1+$X$70*W76^3)/((1+$X$70*W76^3)^2)/1000</f>
        <v>6.6150371257903519E-3</v>
      </c>
      <c r="Y76" s="31">
        <f t="shared" si="9"/>
        <v>0</v>
      </c>
      <c r="Z76" s="31">
        <f t="shared" ref="Z76:Z89" si="11">$X$70*W76^2*(1+$X$70*W76^3)/((1+$X$70*W76^3)^2)*30</f>
        <v>198.45111377371055</v>
      </c>
      <c r="AA76" s="362">
        <v>1.4999999999999999E-2</v>
      </c>
      <c r="BB76" s="121"/>
      <c r="BG76" s="120"/>
    </row>
    <row r="77" spans="6:59" x14ac:dyDescent="0.3">
      <c r="F77" s="18">
        <v>1.999999994258728E-2</v>
      </c>
      <c r="O77" s="435">
        <f t="shared" si="4"/>
        <v>-21.65498102562454</v>
      </c>
      <c r="P77" s="437">
        <f t="shared" si="5"/>
        <v>-908.55369053903928</v>
      </c>
      <c r="Q77" s="47">
        <f t="shared" si="6"/>
        <v>1.9999999991930108E-2</v>
      </c>
      <c r="R77" s="443">
        <f t="shared" si="7"/>
        <v>6.1280150432366753E-7</v>
      </c>
      <c r="T77" s="439">
        <v>0.2</v>
      </c>
      <c r="W77" s="173">
        <v>0.02</v>
      </c>
      <c r="X77" s="31">
        <f t="shared" si="10"/>
        <v>1.0352391646883083E-2</v>
      </c>
      <c r="Y77" s="31">
        <f t="shared" si="9"/>
        <v>0</v>
      </c>
      <c r="Z77" s="31">
        <f t="shared" si="11"/>
        <v>310.57174940649247</v>
      </c>
      <c r="AA77" s="362">
        <v>0.02</v>
      </c>
      <c r="BB77" s="121"/>
      <c r="BG77" s="120"/>
    </row>
    <row r="78" spans="6:59" x14ac:dyDescent="0.3">
      <c r="O78" s="435">
        <f t="shared" si="4"/>
        <v>-22.737730076905766</v>
      </c>
      <c r="P78" s="437">
        <f t="shared" si="5"/>
        <v>-953.98137506599119</v>
      </c>
      <c r="Q78" s="443">
        <f t="shared" si="6"/>
        <v>1.9999999997267023E-2</v>
      </c>
      <c r="R78" s="443">
        <f t="shared" si="7"/>
        <v>2.0753334425768411E-7</v>
      </c>
      <c r="T78" s="439">
        <v>0.21</v>
      </c>
      <c r="W78" s="173">
        <v>2.5000000000000001E-2</v>
      </c>
      <c r="X78" s="31">
        <f t="shared" si="10"/>
        <v>1.3509595133143362E-2</v>
      </c>
      <c r="Y78" s="31">
        <f t="shared" si="9"/>
        <v>0</v>
      </c>
      <c r="Z78" s="31">
        <f t="shared" si="11"/>
        <v>405.28785399430086</v>
      </c>
      <c r="AA78" s="362">
        <v>2.5000000000000001E-2</v>
      </c>
      <c r="BB78" s="121"/>
      <c r="BG78" s="120"/>
    </row>
    <row r="79" spans="6:59" x14ac:dyDescent="0.3">
      <c r="O79" s="435">
        <f t="shared" si="4"/>
        <v>-23.820479128186992</v>
      </c>
      <c r="P79" s="437">
        <f t="shared" si="5"/>
        <v>-999.40905959294321</v>
      </c>
      <c r="Q79" s="443">
        <f t="shared" si="6"/>
        <v>1.9999999999074442E-2</v>
      </c>
      <c r="R79" s="443">
        <f t="shared" si="7"/>
        <v>7.0283915223598757E-8</v>
      </c>
      <c r="T79" s="439">
        <v>0.22</v>
      </c>
      <c r="W79" s="173">
        <v>0.03</v>
      </c>
      <c r="X79" s="31">
        <f t="shared" si="10"/>
        <v>1.5614586332417425E-2</v>
      </c>
      <c r="Y79" s="31">
        <f t="shared" si="9"/>
        <v>0</v>
      </c>
      <c r="Z79" s="31">
        <f t="shared" si="11"/>
        <v>468.43758997252274</v>
      </c>
      <c r="AA79" s="362">
        <v>0.03</v>
      </c>
      <c r="BB79" s="121"/>
      <c r="BG79" s="120"/>
    </row>
    <row r="80" spans="6:59" x14ac:dyDescent="0.3">
      <c r="O80" s="435">
        <f t="shared" si="4"/>
        <v>-24.903228179468222</v>
      </c>
      <c r="P80" s="437">
        <f t="shared" si="5"/>
        <v>-1044.8367441198952</v>
      </c>
      <c r="Q80" s="443">
        <f t="shared" si="6"/>
        <v>1.9999999999686546E-2</v>
      </c>
      <c r="R80" s="443">
        <f t="shared" si="7"/>
        <v>2.3802578601655704E-8</v>
      </c>
      <c r="T80" s="439">
        <v>0.23</v>
      </c>
      <c r="W80" s="173">
        <v>3.5000000000000003E-2</v>
      </c>
      <c r="X80" s="31">
        <f t="shared" si="10"/>
        <v>1.6663625374456374E-2</v>
      </c>
      <c r="Y80" s="31">
        <f t="shared" si="9"/>
        <v>0</v>
      </c>
      <c r="Z80" s="31">
        <f t="shared" si="11"/>
        <v>499.90876123369117</v>
      </c>
      <c r="AA80" s="362">
        <v>3.5000000000000003E-2</v>
      </c>
      <c r="BB80" s="121"/>
      <c r="BG80" s="120"/>
    </row>
    <row r="81" spans="9:59" x14ac:dyDescent="0.3">
      <c r="O81" s="435">
        <f t="shared" si="4"/>
        <v>-25.985977230749445</v>
      </c>
      <c r="P81" s="437">
        <f t="shared" si="5"/>
        <v>-1090.2644286468471</v>
      </c>
      <c r="Q81" s="443">
        <f t="shared" si="6"/>
        <v>1.9999999999893846E-2</v>
      </c>
      <c r="R81" s="443">
        <f t="shared" si="7"/>
        <v>8.0610584411178502E-9</v>
      </c>
      <c r="T81" s="439">
        <v>0.24</v>
      </c>
      <c r="W81" s="173">
        <v>0.04</v>
      </c>
      <c r="X81" s="31">
        <f t="shared" si="10"/>
        <v>1.6906453977140936E-2</v>
      </c>
      <c r="Y81" s="31">
        <f t="shared" si="9"/>
        <v>0</v>
      </c>
      <c r="Z81" s="31">
        <f t="shared" si="11"/>
        <v>507.19361931422804</v>
      </c>
      <c r="AA81" s="362">
        <v>0.04</v>
      </c>
      <c r="BB81" s="121"/>
      <c r="BG81" s="120"/>
    </row>
    <row r="82" spans="9:59" x14ac:dyDescent="0.3">
      <c r="O82" s="435">
        <f t="shared" si="4"/>
        <v>-27.068726282030674</v>
      </c>
      <c r="P82" s="437">
        <f t="shared" si="5"/>
        <v>-1135.692113173799</v>
      </c>
      <c r="Q82" s="443">
        <f t="shared" si="6"/>
        <v>1.999999999996405E-2</v>
      </c>
      <c r="R82" s="443">
        <f t="shared" si="7"/>
        <v>2.729984186948419E-9</v>
      </c>
      <c r="T82" s="439">
        <v>0.25</v>
      </c>
      <c r="W82" s="173">
        <v>4.4999999999999998E-2</v>
      </c>
      <c r="X82" s="31">
        <f t="shared" si="10"/>
        <v>1.6630611153128132E-2</v>
      </c>
      <c r="Y82" s="31">
        <f t="shared" si="9"/>
        <v>0</v>
      </c>
      <c r="Z82" s="31">
        <f t="shared" si="11"/>
        <v>498.91833459384395</v>
      </c>
      <c r="AA82" s="362">
        <v>4.4999999999999998E-2</v>
      </c>
      <c r="BB82" s="121"/>
      <c r="BG82" s="120"/>
    </row>
    <row r="83" spans="9:59" x14ac:dyDescent="0.3">
      <c r="O83" s="435">
        <f t="shared" si="4"/>
        <v>-28.151475333311904</v>
      </c>
      <c r="P83" s="437">
        <f t="shared" si="5"/>
        <v>-1181.119797700751</v>
      </c>
      <c r="Q83" s="443">
        <f t="shared" si="6"/>
        <v>1.9999999999987826E-2</v>
      </c>
      <c r="R83" s="443">
        <f t="shared" si="7"/>
        <v>9.2454529581042422E-10</v>
      </c>
      <c r="T83" s="445">
        <v>0.26</v>
      </c>
      <c r="U83" s="446" t="s">
        <v>360</v>
      </c>
      <c r="W83" s="173">
        <v>0.05</v>
      </c>
      <c r="X83" s="31">
        <f t="shared" si="10"/>
        <v>1.6062872442414049E-2</v>
      </c>
      <c r="Y83" s="31">
        <f t="shared" si="9"/>
        <v>0</v>
      </c>
      <c r="Z83" s="31">
        <f t="shared" si="11"/>
        <v>481.88617327242139</v>
      </c>
      <c r="AA83" s="362">
        <v>0.05</v>
      </c>
      <c r="BB83" s="121"/>
      <c r="BG83" s="120"/>
    </row>
    <row r="84" spans="9:59" x14ac:dyDescent="0.3">
      <c r="O84" s="435">
        <f t="shared" si="4"/>
        <v>-29.23422438459313</v>
      </c>
      <c r="P84" s="437">
        <f t="shared" si="5"/>
        <v>-1226.5474822277031</v>
      </c>
      <c r="Q84" s="443">
        <f t="shared" si="6"/>
        <v>1.9999999999995879E-2</v>
      </c>
      <c r="R84" s="443">
        <f t="shared" si="7"/>
        <v>3.1310950740731829E-10</v>
      </c>
      <c r="T84" s="439">
        <v>0.27</v>
      </c>
      <c r="W84" s="173">
        <v>5.5E-2</v>
      </c>
      <c r="X84" s="31">
        <f t="shared" si="10"/>
        <v>1.5354284412374439E-2</v>
      </c>
      <c r="Y84" s="31">
        <f t="shared" si="9"/>
        <v>0</v>
      </c>
      <c r="Z84" s="31">
        <f t="shared" si="11"/>
        <v>460.62853237123318</v>
      </c>
      <c r="AA84" s="362">
        <v>5.5E-2</v>
      </c>
      <c r="BB84" s="121"/>
      <c r="BG84" s="120" t="e">
        <f>SQRT(#REF!^2+#REF!^2)</f>
        <v>#REF!</v>
      </c>
    </row>
    <row r="85" spans="9:59" x14ac:dyDescent="0.3">
      <c r="O85" s="435">
        <f t="shared" si="4"/>
        <v>-30.31697343587436</v>
      </c>
      <c r="P85" s="437">
        <f t="shared" si="5"/>
        <v>-1271.975166754655</v>
      </c>
      <c r="Q85" s="443">
        <f t="shared" si="6"/>
        <v>1.9999999999998602E-2</v>
      </c>
      <c r="R85" s="443">
        <f t="shared" si="7"/>
        <v>1.060386809311672E-10</v>
      </c>
      <c r="T85" s="439">
        <v>0.28000000000000003</v>
      </c>
      <c r="W85" s="173">
        <v>0.06</v>
      </c>
      <c r="X85" s="31">
        <f t="shared" si="10"/>
        <v>1.4596266387048409E-2</v>
      </c>
      <c r="Y85" s="31">
        <f t="shared" si="9"/>
        <v>0</v>
      </c>
      <c r="Z85" s="31">
        <f t="shared" si="11"/>
        <v>437.88799161145226</v>
      </c>
      <c r="AA85" s="362">
        <v>0.06</v>
      </c>
    </row>
    <row r="86" spans="9:59" x14ac:dyDescent="0.3">
      <c r="O86" s="435">
        <f t="shared" si="4"/>
        <v>-31.399722487155579</v>
      </c>
      <c r="P86" s="437">
        <f t="shared" si="5"/>
        <v>-1317.4028512816069</v>
      </c>
      <c r="Q86" s="443">
        <f t="shared" si="6"/>
        <v>1.9999999999999529E-2</v>
      </c>
      <c r="R86" s="443">
        <f t="shared" si="7"/>
        <v>3.5911403479021899E-11</v>
      </c>
      <c r="T86" s="439">
        <v>0.28999999999999998</v>
      </c>
      <c r="W86" s="173">
        <v>6.5000000000000002E-2</v>
      </c>
      <c r="X86" s="31">
        <f t="shared" si="10"/>
        <v>1.3840505604894249E-2</v>
      </c>
      <c r="Y86" s="31">
        <f t="shared" si="9"/>
        <v>0</v>
      </c>
      <c r="Z86" s="31">
        <f t="shared" si="11"/>
        <v>415.21516814682747</v>
      </c>
      <c r="AA86" s="362">
        <v>6.5000000000000002E-2</v>
      </c>
    </row>
    <row r="87" spans="9:59" ht="15" thickBot="1" x14ac:dyDescent="0.35">
      <c r="O87" s="435">
        <f t="shared" si="4"/>
        <v>-32.482471538436805</v>
      </c>
      <c r="P87" s="437">
        <f t="shared" si="5"/>
        <v>-1362.8305358085588</v>
      </c>
      <c r="Q87" s="443">
        <f t="shared" si="6"/>
        <v>1.9999999999999841E-2</v>
      </c>
      <c r="R87" s="437">
        <f t="shared" si="7"/>
        <v>1.2161872332891735E-11</v>
      </c>
      <c r="T87" s="439">
        <v>0.3</v>
      </c>
      <c r="W87" s="173">
        <v>7.0000000000000007E-2</v>
      </c>
      <c r="X87" s="31">
        <f t="shared" si="10"/>
        <v>1.311428324613602E-2</v>
      </c>
      <c r="Y87" s="31">
        <f t="shared" si="9"/>
        <v>0</v>
      </c>
      <c r="Z87" s="31">
        <f t="shared" si="11"/>
        <v>393.42849738408063</v>
      </c>
      <c r="AA87" s="364">
        <v>7.0000000000000007E-2</v>
      </c>
    </row>
    <row r="88" spans="9:59" x14ac:dyDescent="0.3">
      <c r="O88" s="435">
        <f t="shared" si="4"/>
        <v>-33.565220589718038</v>
      </c>
      <c r="P88" s="437">
        <f t="shared" si="5"/>
        <v>-1408.2582203355107</v>
      </c>
      <c r="Q88" s="443">
        <f t="shared" si="6"/>
        <v>1.9999999999999948E-2</v>
      </c>
      <c r="R88" s="437">
        <f t="shared" si="7"/>
        <v>4.1187791150507546E-12</v>
      </c>
      <c r="T88" s="439">
        <v>0.31</v>
      </c>
      <c r="W88" s="173">
        <v>7.4999999999999997E-2</v>
      </c>
      <c r="X88" s="31">
        <f t="shared" si="10"/>
        <v>1.2430570717195763E-2</v>
      </c>
      <c r="Y88" s="31">
        <f t="shared" si="9"/>
        <v>0</v>
      </c>
      <c r="Z88" s="31">
        <f t="shared" si="11"/>
        <v>372.91712151587291</v>
      </c>
    </row>
    <row r="89" spans="9:59" x14ac:dyDescent="0.3">
      <c r="I89" s="476" t="s">
        <v>233</v>
      </c>
      <c r="J89" s="477"/>
      <c r="K89" s="477"/>
      <c r="L89" s="477"/>
      <c r="M89" s="478"/>
      <c r="O89" s="435">
        <f t="shared" si="4"/>
        <v>-34.647969640999264</v>
      </c>
      <c r="P89" s="437">
        <f t="shared" si="5"/>
        <v>-1453.6859048624628</v>
      </c>
      <c r="Q89" s="443">
        <f t="shared" si="6"/>
        <v>1.9999999999999983E-2</v>
      </c>
      <c r="R89" s="437">
        <f t="shared" si="7"/>
        <v>1.3948790888635136E-12</v>
      </c>
      <c r="T89" s="439">
        <v>0.32</v>
      </c>
      <c r="W89" s="173">
        <v>0.08</v>
      </c>
      <c r="X89" s="31">
        <f t="shared" si="10"/>
        <v>1.1794225820427167E-2</v>
      </c>
      <c r="Y89" s="31">
        <f t="shared" si="9"/>
        <v>0</v>
      </c>
      <c r="Z89" s="31">
        <f t="shared" si="11"/>
        <v>353.82677461281503</v>
      </c>
    </row>
    <row r="90" spans="9:59" x14ac:dyDescent="0.3">
      <c r="I90" s="631" t="s">
        <v>92</v>
      </c>
      <c r="J90" s="632"/>
      <c r="K90" s="136" t="s">
        <v>214</v>
      </c>
      <c r="L90" s="137">
        <f>K18/10^6*L10/(1+L92)</f>
        <v>5473.7593013061514</v>
      </c>
      <c r="M90" s="138" t="s">
        <v>84</v>
      </c>
      <c r="O90" s="435">
        <f t="shared" ref="O90:O153" si="12">-$Z$52*($Z$53-SQRT($Z$53^2-1))*T90</f>
        <v>-35.73071869228049</v>
      </c>
      <c r="P90" s="437">
        <f t="shared" ref="P90:P153" si="13">-$Z$52*($Z$53+SQRT($Z$53^2-1))*T90</f>
        <v>-1499.1135893894148</v>
      </c>
      <c r="Q90" s="443">
        <f t="shared" si="6"/>
        <v>1.9999999999999993E-2</v>
      </c>
      <c r="R90" s="437">
        <f t="shared" si="7"/>
        <v>4.7239427466231817E-13</v>
      </c>
      <c r="T90" s="439">
        <v>0.33</v>
      </c>
      <c r="W90" s="173">
        <v>8.5000000000000006E-2</v>
      </c>
      <c r="X90" s="31">
        <f t="shared" si="10"/>
        <v>1.1205660614415844E-2</v>
      </c>
    </row>
    <row r="91" spans="9:59" x14ac:dyDescent="0.3">
      <c r="I91" s="602">
        <v>1</v>
      </c>
      <c r="J91" s="139" t="s">
        <v>83</v>
      </c>
      <c r="K91" s="140" t="s">
        <v>215</v>
      </c>
      <c r="L91" s="140">
        <f>K18/10^6*L10/(1+L92*L93^3)</f>
        <v>5473.7593013061514</v>
      </c>
      <c r="M91" s="141" t="s">
        <v>84</v>
      </c>
      <c r="O91" s="435">
        <f t="shared" si="12"/>
        <v>-36.813467743561716</v>
      </c>
      <c r="P91" s="437">
        <f t="shared" si="13"/>
        <v>-1544.5412739163669</v>
      </c>
      <c r="Q91" s="443">
        <f t="shared" si="6"/>
        <v>1.9999999999999997E-2</v>
      </c>
      <c r="R91" s="437">
        <f t="shared" si="7"/>
        <v>1.5998257663720209E-13</v>
      </c>
      <c r="T91" s="439">
        <v>0.34</v>
      </c>
      <c r="W91" s="173">
        <v>0.09</v>
      </c>
      <c r="X91" s="31">
        <f t="shared" si="10"/>
        <v>1.0662967860617802E-2</v>
      </c>
    </row>
    <row r="92" spans="9:59" x14ac:dyDescent="0.3">
      <c r="I92" s="603"/>
      <c r="J92" s="142" t="s">
        <v>96</v>
      </c>
      <c r="K92" s="143" t="s">
        <v>85</v>
      </c>
      <c r="L92" s="137">
        <f>L32/R1</f>
        <v>0.88124664411147557</v>
      </c>
      <c r="M92" s="138"/>
      <c r="O92" s="435">
        <f t="shared" si="12"/>
        <v>-37.896216794842942</v>
      </c>
      <c r="P92" s="437">
        <f t="shared" si="13"/>
        <v>-1589.9689584433186</v>
      </c>
      <c r="Q92" s="443">
        <f t="shared" si="6"/>
        <v>0.02</v>
      </c>
      <c r="R92" s="437">
        <f t="shared" si="7"/>
        <v>5.41802180938241E-14</v>
      </c>
      <c r="T92" s="439">
        <v>0.35</v>
      </c>
      <c r="W92" s="173">
        <v>9.5000000000000001E-2</v>
      </c>
      <c r="X92" s="31">
        <f t="shared" si="10"/>
        <v>1.0163134759184886E-2</v>
      </c>
    </row>
    <row r="93" spans="9:59" x14ac:dyDescent="0.3">
      <c r="I93" s="603"/>
      <c r="J93" s="142" t="s">
        <v>216</v>
      </c>
      <c r="K93" s="136" t="s">
        <v>217</v>
      </c>
      <c r="L93" s="137">
        <f>R19/R18</f>
        <v>1</v>
      </c>
      <c r="M93" s="138"/>
      <c r="O93" s="435">
        <f t="shared" si="12"/>
        <v>-38.978965846124169</v>
      </c>
      <c r="P93" s="437">
        <f t="shared" si="13"/>
        <v>-1635.3966429702705</v>
      </c>
      <c r="Q93" s="443">
        <f t="shared" si="6"/>
        <v>0.02</v>
      </c>
      <c r="R93" s="437">
        <f t="shared" si="7"/>
        <v>1.8348848320847263E-14</v>
      </c>
      <c r="T93" s="439">
        <v>0.36</v>
      </c>
      <c r="W93" s="173">
        <v>0.1</v>
      </c>
      <c r="X93" s="31">
        <f t="shared" si="10"/>
        <v>9.7027239222401557E-3</v>
      </c>
    </row>
    <row r="94" spans="9:59" x14ac:dyDescent="0.3">
      <c r="I94" s="604"/>
      <c r="J94" s="144"/>
      <c r="K94" s="145" t="s">
        <v>218</v>
      </c>
      <c r="L94" s="137">
        <f>RADIANS(90)</f>
        <v>1.5707963267948966</v>
      </c>
      <c r="M94" s="146" t="s">
        <v>39</v>
      </c>
      <c r="O94" s="435">
        <f t="shared" si="12"/>
        <v>-40.061714897405395</v>
      </c>
      <c r="P94" s="437">
        <f t="shared" si="13"/>
        <v>-1680.8243274972226</v>
      </c>
      <c r="Q94" s="443">
        <f t="shared" si="6"/>
        <v>0.02</v>
      </c>
      <c r="R94" s="437">
        <f t="shared" si="7"/>
        <v>6.2140804623272084E-15</v>
      </c>
      <c r="T94" s="439">
        <v>0.37</v>
      </c>
      <c r="W94" s="173">
        <v>0.105</v>
      </c>
      <c r="X94" s="31">
        <f t="shared" si="10"/>
        <v>9.278245770284594E-3</v>
      </c>
    </row>
    <row r="95" spans="9:59" x14ac:dyDescent="0.3">
      <c r="I95" s="602">
        <v>2</v>
      </c>
      <c r="J95" s="139" t="s">
        <v>83</v>
      </c>
      <c r="K95" s="147" t="s">
        <v>219</v>
      </c>
      <c r="L95" s="148">
        <f>K18/10^6*L10/(1+L96*L97^3)</f>
        <v>5473.7593013061514</v>
      </c>
      <c r="M95" s="141" t="s">
        <v>84</v>
      </c>
      <c r="O95" s="435">
        <f t="shared" si="12"/>
        <v>-41.144463948686628</v>
      </c>
      <c r="P95" s="437">
        <f t="shared" si="13"/>
        <v>-1726.2520120241745</v>
      </c>
      <c r="Q95" s="443">
        <f t="shared" si="6"/>
        <v>0.02</v>
      </c>
      <c r="R95" s="437">
        <f t="shared" si="7"/>
        <v>2.1044806364442936E-15</v>
      </c>
      <c r="T95" s="439">
        <v>0.38</v>
      </c>
      <c r="W95" s="173">
        <v>0.11</v>
      </c>
      <c r="X95" s="31">
        <f t="shared" si="10"/>
        <v>8.8863532864045663E-3</v>
      </c>
    </row>
    <row r="96" spans="9:59" x14ac:dyDescent="0.3">
      <c r="I96" s="603"/>
      <c r="J96" s="142" t="s">
        <v>96</v>
      </c>
      <c r="K96" s="143" t="s">
        <v>85</v>
      </c>
      <c r="L96" s="137">
        <f>L32/R3</f>
        <v>0.88124664411147557</v>
      </c>
      <c r="M96" s="138"/>
      <c r="O96" s="435">
        <f t="shared" si="12"/>
        <v>-42.227212999967854</v>
      </c>
      <c r="P96" s="437">
        <f t="shared" si="13"/>
        <v>-1771.6796965511267</v>
      </c>
      <c r="Q96" s="443">
        <f t="shared" si="6"/>
        <v>0.02</v>
      </c>
      <c r="R96" s="437">
        <f t="shared" si="7"/>
        <v>7.1271023541114322E-16</v>
      </c>
      <c r="T96" s="439">
        <v>0.39</v>
      </c>
      <c r="W96" s="173">
        <v>0.115</v>
      </c>
      <c r="X96" s="31">
        <f t="shared" si="10"/>
        <v>8.5239353240562209E-3</v>
      </c>
    </row>
    <row r="97" spans="9:20" x14ac:dyDescent="0.3">
      <c r="I97" s="603"/>
      <c r="J97" s="142" t="s">
        <v>220</v>
      </c>
      <c r="K97" s="136" t="s">
        <v>221</v>
      </c>
      <c r="L97" s="137">
        <f>R20/R18</f>
        <v>1</v>
      </c>
      <c r="M97" s="138"/>
      <c r="O97" s="435">
        <f t="shared" si="12"/>
        <v>-43.30996205124908</v>
      </c>
      <c r="P97" s="437">
        <f t="shared" si="13"/>
        <v>-1817.1073810780786</v>
      </c>
      <c r="Q97" s="443">
        <f t="shared" si="6"/>
        <v>0.02</v>
      </c>
      <c r="R97" s="437">
        <f t="shared" si="7"/>
        <v>2.4136875904833397E-16</v>
      </c>
      <c r="T97" s="439">
        <v>0.4</v>
      </c>
    </row>
    <row r="98" spans="9:20" x14ac:dyDescent="0.3">
      <c r="I98" s="604"/>
      <c r="J98" s="149"/>
      <c r="K98" s="145" t="s">
        <v>222</v>
      </c>
      <c r="L98" s="137">
        <f>RADIANS(90+120)</f>
        <v>3.6651914291880923</v>
      </c>
      <c r="M98" s="150" t="s">
        <v>39</v>
      </c>
      <c r="O98" s="435">
        <f t="shared" si="12"/>
        <v>-44.392711102530306</v>
      </c>
      <c r="P98" s="437">
        <f t="shared" si="13"/>
        <v>-1862.5350656050302</v>
      </c>
      <c r="Q98" s="443">
        <f t="shared" si="6"/>
        <v>0.02</v>
      </c>
      <c r="R98" s="437">
        <f t="shared" si="7"/>
        <v>8.1742726496589081E-17</v>
      </c>
      <c r="T98" s="439">
        <v>0.41</v>
      </c>
    </row>
    <row r="99" spans="9:20" x14ac:dyDescent="0.3">
      <c r="I99" s="602">
        <v>3</v>
      </c>
      <c r="J99" s="139" t="s">
        <v>83</v>
      </c>
      <c r="K99" s="147" t="s">
        <v>223</v>
      </c>
      <c r="L99" s="148">
        <f>K18/10^6*L10/(1+L100*L101^3)</f>
        <v>5473.7593013061514</v>
      </c>
      <c r="M99" s="151" t="s">
        <v>84</v>
      </c>
      <c r="O99" s="435">
        <f t="shared" si="12"/>
        <v>-45.475460153811532</v>
      </c>
      <c r="P99" s="437">
        <f t="shared" si="13"/>
        <v>-1907.9627501319824</v>
      </c>
      <c r="Q99" s="443">
        <f t="shared" si="6"/>
        <v>0.02</v>
      </c>
      <c r="R99" s="437">
        <f t="shared" si="7"/>
        <v>2.768325677872058E-17</v>
      </c>
      <c r="T99" s="439">
        <v>0.42</v>
      </c>
    </row>
    <row r="100" spans="9:20" x14ac:dyDescent="0.3">
      <c r="I100" s="603"/>
      <c r="J100" s="142" t="s">
        <v>96</v>
      </c>
      <c r="K100" s="143" t="s">
        <v>85</v>
      </c>
      <c r="L100" s="137">
        <f>L32/R5</f>
        <v>0.88124664411147557</v>
      </c>
      <c r="M100" s="138"/>
      <c r="O100" s="435">
        <f t="shared" si="12"/>
        <v>-46.558209205092759</v>
      </c>
      <c r="P100" s="437">
        <f t="shared" si="13"/>
        <v>-1953.3904346589343</v>
      </c>
      <c r="Q100" s="443">
        <f t="shared" si="6"/>
        <v>0.02</v>
      </c>
      <c r="R100" s="437">
        <f t="shared" si="7"/>
        <v>9.3753014943605718E-18</v>
      </c>
      <c r="T100" s="439">
        <v>0.43</v>
      </c>
    </row>
    <row r="101" spans="9:20" x14ac:dyDescent="0.3">
      <c r="I101" s="603"/>
      <c r="J101" s="142" t="s">
        <v>220</v>
      </c>
      <c r="K101" s="136" t="s">
        <v>224</v>
      </c>
      <c r="L101" s="137">
        <f>R21/R18</f>
        <v>1</v>
      </c>
      <c r="M101" s="138"/>
      <c r="O101" s="435">
        <f t="shared" si="12"/>
        <v>-47.640958256373985</v>
      </c>
      <c r="P101" s="437">
        <f t="shared" si="13"/>
        <v>-1998.8181191858864</v>
      </c>
      <c r="Q101" s="443">
        <f t="shared" si="6"/>
        <v>0.02</v>
      </c>
      <c r="R101" s="437">
        <f t="shared" si="7"/>
        <v>3.1750700003520979E-18</v>
      </c>
      <c r="T101" s="439">
        <v>0.44</v>
      </c>
    </row>
    <row r="102" spans="9:20" x14ac:dyDescent="0.3">
      <c r="I102" s="604"/>
      <c r="J102" s="149"/>
      <c r="K102" s="152" t="s">
        <v>153</v>
      </c>
      <c r="L102" s="153">
        <f>RADIANS(90+120+120)</f>
        <v>5.7595865315812871</v>
      </c>
      <c r="M102" s="150" t="s">
        <v>39</v>
      </c>
      <c r="O102" s="435">
        <f t="shared" si="12"/>
        <v>-48.723707307655218</v>
      </c>
      <c r="P102" s="437">
        <f t="shared" si="13"/>
        <v>-2044.2458037128383</v>
      </c>
      <c r="Q102" s="443">
        <f t="shared" si="6"/>
        <v>0.02</v>
      </c>
      <c r="R102" s="437">
        <f t="shared" si="7"/>
        <v>1.0752795004192408E-18</v>
      </c>
      <c r="T102" s="439">
        <v>0.45</v>
      </c>
    </row>
    <row r="103" spans="9:20" x14ac:dyDescent="0.3">
      <c r="I103" s="154" t="s">
        <v>151</v>
      </c>
      <c r="J103" s="155"/>
      <c r="K103" s="156" t="s">
        <v>225</v>
      </c>
      <c r="L103" s="157">
        <f>L91*COS(L94)+L95*COS(L98)+L99*COS(L102)</f>
        <v>0</v>
      </c>
      <c r="M103" s="158" t="s">
        <v>84</v>
      </c>
      <c r="O103" s="435">
        <f t="shared" si="12"/>
        <v>-49.806456358936444</v>
      </c>
      <c r="P103" s="437">
        <f t="shared" si="13"/>
        <v>-2089.6734882397905</v>
      </c>
      <c r="Q103" s="443">
        <f t="shared" si="6"/>
        <v>0.02</v>
      </c>
      <c r="R103" s="437">
        <f t="shared" si="7"/>
        <v>3.6415764184526368E-19</v>
      </c>
      <c r="T103" s="439">
        <v>0.46</v>
      </c>
    </row>
    <row r="104" spans="9:20" x14ac:dyDescent="0.3">
      <c r="I104" s="159" t="s">
        <v>152</v>
      </c>
      <c r="J104" s="160"/>
      <c r="K104" s="145" t="s">
        <v>226</v>
      </c>
      <c r="L104" s="161">
        <f>L91*SIN(L94)+L95*SIN(L98)+L99*SIN(L102)</f>
        <v>0</v>
      </c>
      <c r="M104" s="146" t="s">
        <v>84</v>
      </c>
      <c r="O104" s="435">
        <f t="shared" si="12"/>
        <v>-50.889205410217663</v>
      </c>
      <c r="P104" s="437">
        <f t="shared" si="13"/>
        <v>-2135.1011727667419</v>
      </c>
      <c r="Q104" s="443">
        <f t="shared" si="6"/>
        <v>0.02</v>
      </c>
      <c r="R104" s="437">
        <f t="shared" si="7"/>
        <v>1.2332680764638463E-19</v>
      </c>
      <c r="T104" s="439">
        <v>0.47</v>
      </c>
    </row>
    <row r="105" spans="9:20" ht="15.6" x14ac:dyDescent="0.3">
      <c r="I105" s="162" t="s">
        <v>154</v>
      </c>
      <c r="J105" s="163"/>
      <c r="K105" s="164" t="s">
        <v>82</v>
      </c>
      <c r="L105" s="165">
        <f>SQRT(L103^2+L104^2)</f>
        <v>0</v>
      </c>
      <c r="M105" s="166" t="s">
        <v>84</v>
      </c>
      <c r="O105" s="435">
        <f t="shared" si="12"/>
        <v>-51.971954461498889</v>
      </c>
      <c r="P105" s="437">
        <f t="shared" si="13"/>
        <v>-2180.5288572936943</v>
      </c>
      <c r="Q105" s="443">
        <f t="shared" si="6"/>
        <v>0.02</v>
      </c>
      <c r="R105" s="437">
        <f t="shared" si="7"/>
        <v>4.1766256523352067E-20</v>
      </c>
      <c r="T105" s="439">
        <v>0.48</v>
      </c>
    </row>
    <row r="106" spans="9:20" x14ac:dyDescent="0.3">
      <c r="O106" s="435">
        <f t="shared" si="12"/>
        <v>-53.054703512780122</v>
      </c>
      <c r="P106" s="437">
        <f t="shared" si="13"/>
        <v>-2225.9565418206462</v>
      </c>
      <c r="Q106" s="443">
        <f t="shared" si="6"/>
        <v>0.02</v>
      </c>
      <c r="R106" s="437">
        <f t="shared" si="7"/>
        <v>1.4144695847282596E-20</v>
      </c>
      <c r="T106" s="439">
        <v>0.49</v>
      </c>
    </row>
    <row r="107" spans="9:20" x14ac:dyDescent="0.3">
      <c r="O107" s="435">
        <f t="shared" si="12"/>
        <v>-54.137452564061348</v>
      </c>
      <c r="P107" s="437">
        <f t="shared" si="13"/>
        <v>-2271.3842263475981</v>
      </c>
      <c r="Q107" s="443">
        <f t="shared" si="6"/>
        <v>0.02</v>
      </c>
      <c r="R107" s="437">
        <f t="shared" si="7"/>
        <v>4.7902885550748797E-21</v>
      </c>
      <c r="T107" s="439">
        <v>0.5</v>
      </c>
    </row>
    <row r="108" spans="9:20" x14ac:dyDescent="0.3">
      <c r="O108" s="435">
        <f t="shared" si="12"/>
        <v>-55.220201615342575</v>
      </c>
      <c r="P108" s="437">
        <f t="shared" si="13"/>
        <v>-2316.81191087455</v>
      </c>
      <c r="Q108" s="443">
        <f t="shared" si="6"/>
        <v>0.02</v>
      </c>
      <c r="R108" s="437">
        <f t="shared" si="7"/>
        <v>1.622294652966314E-21</v>
      </c>
      <c r="T108" s="439">
        <v>0.51</v>
      </c>
    </row>
    <row r="109" spans="9:20" x14ac:dyDescent="0.3">
      <c r="O109" s="435">
        <f t="shared" si="12"/>
        <v>-56.302950666623808</v>
      </c>
      <c r="P109" s="437">
        <f t="shared" si="13"/>
        <v>-2362.2395954015019</v>
      </c>
      <c r="Q109" s="443">
        <f t="shared" si="6"/>
        <v>0.02</v>
      </c>
      <c r="R109" s="437">
        <f t="shared" si="7"/>
        <v>5.4941156692009223E-22</v>
      </c>
      <c r="T109" s="439">
        <v>0.52</v>
      </c>
    </row>
    <row r="110" spans="9:20" x14ac:dyDescent="0.3">
      <c r="O110" s="435">
        <f t="shared" si="12"/>
        <v>-57.385699717905034</v>
      </c>
      <c r="P110" s="437">
        <f t="shared" si="13"/>
        <v>-2407.6672799284543</v>
      </c>
      <c r="Q110" s="443">
        <f t="shared" si="6"/>
        <v>0.02</v>
      </c>
      <c r="R110" s="437">
        <f t="shared" si="7"/>
        <v>1.860655025359693E-22</v>
      </c>
      <c r="T110" s="439">
        <v>0.53</v>
      </c>
    </row>
    <row r="111" spans="9:20" x14ac:dyDescent="0.3">
      <c r="O111" s="435">
        <f t="shared" si="12"/>
        <v>-58.46844876918626</v>
      </c>
      <c r="P111" s="437">
        <f t="shared" si="13"/>
        <v>-2453.0949644554062</v>
      </c>
      <c r="Q111" s="443">
        <f t="shared" si="6"/>
        <v>0.02</v>
      </c>
      <c r="R111" s="437">
        <f t="shared" si="7"/>
        <v>6.3013546343843305E-23</v>
      </c>
      <c r="T111" s="439">
        <v>0.54</v>
      </c>
    </row>
    <row r="112" spans="9:20" x14ac:dyDescent="0.3">
      <c r="O112" s="435">
        <f t="shared" si="12"/>
        <v>-59.551197820467486</v>
      </c>
      <c r="P112" s="437">
        <f t="shared" si="13"/>
        <v>-2498.5226489823581</v>
      </c>
      <c r="Q112" s="443">
        <f t="shared" si="6"/>
        <v>0.02</v>
      </c>
      <c r="R112" s="437">
        <f t="shared" si="7"/>
        <v>2.1340371905104174E-23</v>
      </c>
      <c r="T112" s="439">
        <v>0.55000000000000004</v>
      </c>
    </row>
    <row r="113" spans="15:20" x14ac:dyDescent="0.3">
      <c r="O113" s="435">
        <f t="shared" si="12"/>
        <v>-60.633946871748606</v>
      </c>
      <c r="P113" s="437">
        <f t="shared" si="13"/>
        <v>-2543.9503335093054</v>
      </c>
      <c r="Q113" s="443">
        <f t="shared" si="6"/>
        <v>0.02</v>
      </c>
      <c r="R113" s="437">
        <f t="shared" si="7"/>
        <v>7.2271995383847115E-24</v>
      </c>
      <c r="T113" s="439">
        <v>0.55999999999999905</v>
      </c>
    </row>
    <row r="114" spans="15:20" x14ac:dyDescent="0.3">
      <c r="O114" s="435">
        <f t="shared" si="12"/>
        <v>-61.716695923029825</v>
      </c>
      <c r="P114" s="437">
        <f t="shared" si="13"/>
        <v>-2589.3780180362569</v>
      </c>
      <c r="Q114" s="443">
        <f t="shared" si="6"/>
        <v>0.02</v>
      </c>
      <c r="R114" s="437">
        <f t="shared" si="7"/>
        <v>2.4475868274409073E-24</v>
      </c>
      <c r="T114" s="439">
        <v>0.56999999999999895</v>
      </c>
    </row>
    <row r="115" spans="15:20" x14ac:dyDescent="0.3">
      <c r="O115" s="435">
        <f t="shared" si="12"/>
        <v>-62.799444974311051</v>
      </c>
      <c r="P115" s="437">
        <f t="shared" si="13"/>
        <v>-2634.8057025632093</v>
      </c>
      <c r="Q115" s="443">
        <f t="shared" si="6"/>
        <v>0.02</v>
      </c>
      <c r="R115" s="437">
        <f t="shared" si="7"/>
        <v>8.289076904608516E-25</v>
      </c>
      <c r="T115" s="439">
        <v>0.57999999999999896</v>
      </c>
    </row>
    <row r="116" spans="15:20" x14ac:dyDescent="0.3">
      <c r="O116" s="435">
        <f t="shared" si="12"/>
        <v>-63.882194025592277</v>
      </c>
      <c r="P116" s="437">
        <f t="shared" si="13"/>
        <v>-2680.2333870901612</v>
      </c>
      <c r="Q116" s="443">
        <f t="shared" si="6"/>
        <v>0.02</v>
      </c>
      <c r="R116" s="437">
        <f t="shared" si="7"/>
        <v>2.8072056590676E-25</v>
      </c>
      <c r="T116" s="439">
        <v>0.58999999999999897</v>
      </c>
    </row>
    <row r="117" spans="15:20" x14ac:dyDescent="0.3">
      <c r="O117" s="435">
        <f t="shared" si="12"/>
        <v>-64.96494307687351</v>
      </c>
      <c r="P117" s="437">
        <f t="shared" si="13"/>
        <v>-2725.6610716171131</v>
      </c>
      <c r="Q117" s="443">
        <f t="shared" si="6"/>
        <v>0.02</v>
      </c>
      <c r="R117" s="437">
        <f t="shared" si="7"/>
        <v>9.5069736992303685E-26</v>
      </c>
      <c r="T117" s="439">
        <v>0.59999999999999898</v>
      </c>
    </row>
    <row r="118" spans="15:20" x14ac:dyDescent="0.3">
      <c r="O118" s="435">
        <f t="shared" si="12"/>
        <v>-66.047692128154736</v>
      </c>
      <c r="P118" s="437">
        <f t="shared" si="13"/>
        <v>-2771.088756144065</v>
      </c>
      <c r="Q118" s="443">
        <f t="shared" si="6"/>
        <v>0.02</v>
      </c>
      <c r="R118" s="437">
        <f t="shared" si="7"/>
        <v>3.2196625361562831E-26</v>
      </c>
      <c r="T118" s="439">
        <v>0.60999999999999899</v>
      </c>
    </row>
    <row r="119" spans="15:20" x14ac:dyDescent="0.3">
      <c r="O119" s="435">
        <f t="shared" si="12"/>
        <v>-67.130441179435962</v>
      </c>
      <c r="P119" s="437">
        <f t="shared" si="13"/>
        <v>-2816.5164406710169</v>
      </c>
      <c r="Q119" s="443">
        <f t="shared" si="6"/>
        <v>0.02</v>
      </c>
      <c r="R119" s="437">
        <f t="shared" si="7"/>
        <v>1.0903813531710413E-26</v>
      </c>
      <c r="T119" s="439">
        <v>0.619999999999999</v>
      </c>
    </row>
    <row r="120" spans="15:20" x14ac:dyDescent="0.3">
      <c r="O120" s="435">
        <f t="shared" si="12"/>
        <v>-68.213190230717188</v>
      </c>
      <c r="P120" s="437">
        <f t="shared" si="13"/>
        <v>-2861.9441251979692</v>
      </c>
      <c r="Q120" s="443">
        <f t="shared" si="6"/>
        <v>0.02</v>
      </c>
      <c r="R120" s="437">
        <f t="shared" si="7"/>
        <v>3.692720842608829E-27</v>
      </c>
      <c r="T120" s="439">
        <v>0.62999999999999901</v>
      </c>
    </row>
    <row r="121" spans="15:20" x14ac:dyDescent="0.3">
      <c r="O121" s="435">
        <f t="shared" si="12"/>
        <v>-69.295939281998415</v>
      </c>
      <c r="P121" s="437">
        <f t="shared" si="13"/>
        <v>-2907.3718097249211</v>
      </c>
      <c r="Q121" s="443">
        <f t="shared" si="6"/>
        <v>0.02</v>
      </c>
      <c r="R121" s="437">
        <f t="shared" si="7"/>
        <v>1.2505888129672226E-27</v>
      </c>
      <c r="T121" s="439">
        <v>0.63999999999999901</v>
      </c>
    </row>
    <row r="122" spans="15:20" x14ac:dyDescent="0.3">
      <c r="O122" s="435">
        <f t="shared" si="12"/>
        <v>-70.378688333279641</v>
      </c>
      <c r="P122" s="437">
        <f t="shared" si="13"/>
        <v>-2952.7994942518731</v>
      </c>
      <c r="Q122" s="443">
        <f t="shared" ref="Q122:Q185" si="14">$S$57*(1+(EXP(O122)/(2*SQRT($Z$53^2-1)*(SQRT($Z$53^2-1)-$Z$53)))+(EXP(P122)/(2*SQRT($Z$53^2-1)*(SQRT($Z$53^2-1)+$Z$53))))</f>
        <v>0.02</v>
      </c>
      <c r="R122" s="437">
        <f t="shared" ref="R122:R185" si="15">$S$57*$Z$52^2/(2*SQRT($Z$53^2-1))*(EXP(O122)-EXP(P122))</f>
        <v>4.2352846201443515E-28</v>
      </c>
      <c r="T122" s="439">
        <v>0.64999999999999902</v>
      </c>
    </row>
    <row r="123" spans="15:20" x14ac:dyDescent="0.3">
      <c r="O123" s="435">
        <f t="shared" si="12"/>
        <v>-71.461437384560881</v>
      </c>
      <c r="P123" s="437">
        <f t="shared" si="13"/>
        <v>-2998.227178778825</v>
      </c>
      <c r="Q123" s="443">
        <f t="shared" si="14"/>
        <v>0.02</v>
      </c>
      <c r="R123" s="437">
        <f t="shared" si="15"/>
        <v>1.4343352209485315E-28</v>
      </c>
      <c r="T123" s="439">
        <v>0.65999999999999903</v>
      </c>
    </row>
    <row r="124" spans="15:20" x14ac:dyDescent="0.3">
      <c r="O124" s="435">
        <f t="shared" si="12"/>
        <v>-72.544186435842107</v>
      </c>
      <c r="P124" s="437">
        <f t="shared" si="13"/>
        <v>-3043.6548633057769</v>
      </c>
      <c r="Q124" s="443">
        <f t="shared" si="14"/>
        <v>0.02</v>
      </c>
      <c r="R124" s="437">
        <f t="shared" si="15"/>
        <v>4.8575661627751057E-29</v>
      </c>
      <c r="T124" s="439">
        <v>0.66999999999999904</v>
      </c>
    </row>
    <row r="125" spans="15:20" x14ac:dyDescent="0.3">
      <c r="O125" s="435">
        <f t="shared" si="12"/>
        <v>-73.626935487123333</v>
      </c>
      <c r="P125" s="437">
        <f t="shared" si="13"/>
        <v>-3089.0825478327292</v>
      </c>
      <c r="Q125" s="443">
        <f t="shared" si="14"/>
        <v>0.02</v>
      </c>
      <c r="R125" s="437">
        <f t="shared" si="15"/>
        <v>1.64507910571516E-29</v>
      </c>
      <c r="T125" s="439">
        <v>0.67999999999999905</v>
      </c>
    </row>
    <row r="126" spans="15:20" x14ac:dyDescent="0.3">
      <c r="O126" s="435">
        <f t="shared" si="12"/>
        <v>-74.709684538404545</v>
      </c>
      <c r="P126" s="437">
        <f t="shared" si="13"/>
        <v>-3134.5102323596807</v>
      </c>
      <c r="Q126" s="443">
        <f t="shared" si="14"/>
        <v>0.02</v>
      </c>
      <c r="R126" s="437">
        <f t="shared" si="15"/>
        <v>5.5712782355897767E-30</v>
      </c>
      <c r="T126" s="439">
        <v>0.68999999999999895</v>
      </c>
    </row>
    <row r="127" spans="15:20" x14ac:dyDescent="0.3">
      <c r="O127" s="435">
        <f t="shared" si="12"/>
        <v>-75.792433589685771</v>
      </c>
      <c r="P127" s="437">
        <f t="shared" si="13"/>
        <v>-3179.9379168866326</v>
      </c>
      <c r="Q127" s="443">
        <f t="shared" si="14"/>
        <v>0.02</v>
      </c>
      <c r="R127" s="437">
        <f t="shared" si="15"/>
        <v>1.8867871502666945E-30</v>
      </c>
      <c r="T127" s="439">
        <v>0.69999999999999896</v>
      </c>
    </row>
    <row r="128" spans="15:20" x14ac:dyDescent="0.3">
      <c r="O128" s="435">
        <f t="shared" si="12"/>
        <v>-76.875182640966997</v>
      </c>
      <c r="P128" s="437">
        <f t="shared" si="13"/>
        <v>-3225.3656014135845</v>
      </c>
      <c r="Q128" s="443">
        <f t="shared" si="14"/>
        <v>0.02</v>
      </c>
      <c r="R128" s="437">
        <f t="shared" si="15"/>
        <v>6.3898545358409224E-31</v>
      </c>
      <c r="T128" s="439">
        <v>0.70999999999999897</v>
      </c>
    </row>
    <row r="129" spans="15:20" x14ac:dyDescent="0.3">
      <c r="O129" s="435">
        <f t="shared" si="12"/>
        <v>-77.957931692248238</v>
      </c>
      <c r="P129" s="437">
        <f t="shared" si="13"/>
        <v>-3270.7932859405364</v>
      </c>
      <c r="Q129" s="443">
        <f t="shared" si="14"/>
        <v>0.02</v>
      </c>
      <c r="R129" s="437">
        <f t="shared" si="15"/>
        <v>2.1640088540689358E-31</v>
      </c>
      <c r="T129" s="439">
        <v>0.71999999999999897</v>
      </c>
    </row>
    <row r="130" spans="15:20" x14ac:dyDescent="0.3">
      <c r="O130" s="435">
        <f t="shared" si="12"/>
        <v>-79.040680743529464</v>
      </c>
      <c r="P130" s="437">
        <f t="shared" si="13"/>
        <v>-3316.2209704674888</v>
      </c>
      <c r="Q130" s="443">
        <f t="shared" si="14"/>
        <v>0.02</v>
      </c>
      <c r="R130" s="437">
        <f t="shared" si="15"/>
        <v>7.328702545921929E-32</v>
      </c>
      <c r="T130" s="439">
        <v>0.72999999999999898</v>
      </c>
    </row>
    <row r="131" spans="15:20" x14ac:dyDescent="0.3">
      <c r="O131" s="435">
        <f t="shared" si="12"/>
        <v>-80.12342979481069</v>
      </c>
      <c r="P131" s="437">
        <f t="shared" si="13"/>
        <v>-3361.6486549944407</v>
      </c>
      <c r="Q131" s="443">
        <f t="shared" si="14"/>
        <v>0.02</v>
      </c>
      <c r="R131" s="437">
        <f t="shared" si="15"/>
        <v>2.4819621650629162E-32</v>
      </c>
      <c r="T131" s="439">
        <v>0.73999999999999899</v>
      </c>
    </row>
    <row r="132" spans="15:20" x14ac:dyDescent="0.3">
      <c r="O132" s="435">
        <f t="shared" si="12"/>
        <v>-81.206178846091916</v>
      </c>
      <c r="P132" s="437">
        <f t="shared" si="13"/>
        <v>-3407.0763395213926</v>
      </c>
      <c r="Q132" s="443">
        <f t="shared" si="14"/>
        <v>0.02</v>
      </c>
      <c r="R132" s="437">
        <f t="shared" si="15"/>
        <v>8.4054935375042852E-33</v>
      </c>
      <c r="T132" s="439">
        <v>0.749999999999999</v>
      </c>
    </row>
    <row r="133" spans="15:20" x14ac:dyDescent="0.3">
      <c r="O133" s="435">
        <f t="shared" si="12"/>
        <v>-82.288927897373142</v>
      </c>
      <c r="P133" s="437">
        <f t="shared" si="13"/>
        <v>-3452.5040240483445</v>
      </c>
      <c r="Q133" s="443">
        <f t="shared" si="14"/>
        <v>0.02</v>
      </c>
      <c r="R133" s="437">
        <f t="shared" si="15"/>
        <v>2.846631693405984E-33</v>
      </c>
      <c r="T133" s="439">
        <v>0.75999999999999901</v>
      </c>
    </row>
    <row r="134" spans="15:20" x14ac:dyDescent="0.3">
      <c r="O134" s="435">
        <f t="shared" si="12"/>
        <v>-83.371676948654368</v>
      </c>
      <c r="P134" s="437">
        <f t="shared" si="13"/>
        <v>-3497.9317085752964</v>
      </c>
      <c r="Q134" s="443">
        <f t="shared" si="14"/>
        <v>0.02</v>
      </c>
      <c r="R134" s="437">
        <f t="shared" si="15"/>
        <v>9.6404951853777924E-34</v>
      </c>
      <c r="T134" s="439">
        <v>0.76999999999999902</v>
      </c>
    </row>
    <row r="135" spans="15:20" x14ac:dyDescent="0.3">
      <c r="O135" s="435">
        <f t="shared" si="12"/>
        <v>-84.454425999935594</v>
      </c>
      <c r="P135" s="437">
        <f t="shared" si="13"/>
        <v>-3543.3593931022488</v>
      </c>
      <c r="Q135" s="443">
        <f t="shared" si="14"/>
        <v>0.02</v>
      </c>
      <c r="R135" s="437">
        <f t="shared" si="15"/>
        <v>3.2648813555536241E-34</v>
      </c>
      <c r="T135" s="439">
        <v>0.77999999999999903</v>
      </c>
    </row>
    <row r="136" spans="15:20" x14ac:dyDescent="0.3">
      <c r="O136" s="435">
        <f t="shared" si="12"/>
        <v>-85.537175051216721</v>
      </c>
      <c r="P136" s="437">
        <f t="shared" si="13"/>
        <v>-3588.7870776291961</v>
      </c>
      <c r="Q136" s="443">
        <f t="shared" si="14"/>
        <v>0.02</v>
      </c>
      <c r="R136" s="437">
        <f t="shared" si="15"/>
        <v>1.1056953051551166E-34</v>
      </c>
      <c r="T136" s="439">
        <v>0.78999999999999804</v>
      </c>
    </row>
    <row r="137" spans="15:20" x14ac:dyDescent="0.3">
      <c r="O137" s="435">
        <f t="shared" si="12"/>
        <v>-86.619924102497947</v>
      </c>
      <c r="P137" s="437">
        <f t="shared" si="13"/>
        <v>-3634.214762156148</v>
      </c>
      <c r="Q137" s="443">
        <f t="shared" si="14"/>
        <v>0.02</v>
      </c>
      <c r="R137" s="437">
        <f t="shared" si="15"/>
        <v>3.7445835689016508E-35</v>
      </c>
      <c r="T137" s="439">
        <v>0.79999999999999805</v>
      </c>
    </row>
    <row r="138" spans="15:20" x14ac:dyDescent="0.3">
      <c r="O138" s="435">
        <f t="shared" si="12"/>
        <v>-87.702673153779173</v>
      </c>
      <c r="P138" s="437">
        <f t="shared" si="13"/>
        <v>-3679.6424466830999</v>
      </c>
      <c r="Q138" s="443">
        <f t="shared" si="14"/>
        <v>0.02</v>
      </c>
      <c r="R138" s="437">
        <f t="shared" si="15"/>
        <v>1.268152812001052E-35</v>
      </c>
      <c r="T138" s="439">
        <v>0.80999999999999805</v>
      </c>
    </row>
    <row r="139" spans="15:20" x14ac:dyDescent="0.3">
      <c r="O139" s="435">
        <f t="shared" si="12"/>
        <v>-88.785422205060385</v>
      </c>
      <c r="P139" s="437">
        <f t="shared" si="13"/>
        <v>-3725.0701312100514</v>
      </c>
      <c r="Q139" s="443">
        <f t="shared" si="14"/>
        <v>0.02</v>
      </c>
      <c r="R139" s="437">
        <f t="shared" si="15"/>
        <v>4.2947674287261634E-36</v>
      </c>
      <c r="T139" s="439">
        <v>0.81999999999999795</v>
      </c>
    </row>
    <row r="140" spans="15:20" x14ac:dyDescent="0.3">
      <c r="O140" s="435">
        <f t="shared" si="12"/>
        <v>-89.868171256341611</v>
      </c>
      <c r="P140" s="437">
        <f t="shared" si="13"/>
        <v>-3770.4978157370037</v>
      </c>
      <c r="Q140" s="443">
        <f t="shared" si="14"/>
        <v>0.02</v>
      </c>
      <c r="R140" s="437">
        <f t="shared" si="15"/>
        <v>1.4544798617559331E-36</v>
      </c>
      <c r="T140" s="439">
        <v>0.82999999999999796</v>
      </c>
    </row>
    <row r="141" spans="15:20" x14ac:dyDescent="0.3">
      <c r="O141" s="435">
        <f t="shared" si="12"/>
        <v>-90.950920307622852</v>
      </c>
      <c r="P141" s="437">
        <f t="shared" si="13"/>
        <v>-3815.9255002639557</v>
      </c>
      <c r="Q141" s="443">
        <f t="shared" si="14"/>
        <v>0.02</v>
      </c>
      <c r="R141" s="437">
        <f t="shared" si="15"/>
        <v>4.9257886564558242E-37</v>
      </c>
      <c r="T141" s="439">
        <v>0.83999999999999797</v>
      </c>
    </row>
    <row r="142" spans="15:20" x14ac:dyDescent="0.3">
      <c r="O142" s="435">
        <f t="shared" si="12"/>
        <v>-92.033669358904078</v>
      </c>
      <c r="P142" s="437">
        <f t="shared" si="13"/>
        <v>-3861.3531847909076</v>
      </c>
      <c r="Q142" s="443">
        <f t="shared" si="14"/>
        <v>0.02</v>
      </c>
      <c r="R142" s="437">
        <f t="shared" si="15"/>
        <v>1.6681835566136357E-37</v>
      </c>
      <c r="T142" s="439">
        <v>0.84999999999999798</v>
      </c>
    </row>
    <row r="143" spans="15:20" x14ac:dyDescent="0.3">
      <c r="O143" s="435">
        <f t="shared" si="12"/>
        <v>-93.116418410185304</v>
      </c>
      <c r="P143" s="437">
        <f t="shared" si="13"/>
        <v>-3906.7808693178595</v>
      </c>
      <c r="Q143" s="443">
        <f t="shared" si="14"/>
        <v>0.02</v>
      </c>
      <c r="R143" s="437">
        <f t="shared" si="15"/>
        <v>5.6495245180868348E-38</v>
      </c>
      <c r="T143" s="439">
        <v>0.85999999999999799</v>
      </c>
    </row>
    <row r="144" spans="15:20" x14ac:dyDescent="0.3">
      <c r="O144" s="435">
        <f t="shared" si="12"/>
        <v>-94.19916746146653</v>
      </c>
      <c r="P144" s="437">
        <f t="shared" si="13"/>
        <v>-3952.2085538448114</v>
      </c>
      <c r="Q144" s="443">
        <f t="shared" si="14"/>
        <v>0.02</v>
      </c>
      <c r="R144" s="437">
        <f t="shared" si="15"/>
        <v>1.9132862899844868E-38</v>
      </c>
      <c r="T144" s="439">
        <v>0.869999999999998</v>
      </c>
    </row>
    <row r="145" spans="15:20" x14ac:dyDescent="0.3">
      <c r="O145" s="435">
        <f t="shared" si="12"/>
        <v>-95.281916512747756</v>
      </c>
      <c r="P145" s="437">
        <f t="shared" si="13"/>
        <v>-3997.6362383717637</v>
      </c>
      <c r="Q145" s="443">
        <f t="shared" si="14"/>
        <v>0.02</v>
      </c>
      <c r="R145" s="437">
        <f t="shared" si="15"/>
        <v>6.4795973815549615E-39</v>
      </c>
      <c r="T145" s="439">
        <v>0.87999999999999801</v>
      </c>
    </row>
    <row r="146" spans="15:20" x14ac:dyDescent="0.3">
      <c r="O146" s="435">
        <f t="shared" si="12"/>
        <v>-96.364665564028982</v>
      </c>
      <c r="P146" s="437">
        <f t="shared" si="13"/>
        <v>-4043.0639228987156</v>
      </c>
      <c r="Q146" s="443">
        <f t="shared" si="14"/>
        <v>0.02</v>
      </c>
      <c r="R146" s="437">
        <f t="shared" si="15"/>
        <v>2.1944014571595734E-39</v>
      </c>
      <c r="T146" s="439">
        <v>0.88999999999999801</v>
      </c>
    </row>
    <row r="147" spans="15:20" x14ac:dyDescent="0.3">
      <c r="O147" s="435">
        <f t="shared" si="12"/>
        <v>-97.447414615310208</v>
      </c>
      <c r="P147" s="437">
        <f t="shared" si="13"/>
        <v>-4088.4916074256676</v>
      </c>
      <c r="Q147" s="443">
        <f t="shared" si="14"/>
        <v>0.02</v>
      </c>
      <c r="R147" s="437">
        <f t="shared" si="15"/>
        <v>7.4316311209269431E-40</v>
      </c>
      <c r="T147" s="439">
        <v>0.89999999999999802</v>
      </c>
    </row>
    <row r="148" spans="15:20" x14ac:dyDescent="0.3">
      <c r="O148" s="435">
        <f t="shared" si="12"/>
        <v>-98.530163666591434</v>
      </c>
      <c r="P148" s="437">
        <f t="shared" si="13"/>
        <v>-4133.9192919526195</v>
      </c>
      <c r="Q148" s="443">
        <f t="shared" si="14"/>
        <v>0.02</v>
      </c>
      <c r="R148" s="437">
        <f t="shared" si="15"/>
        <v>2.5168202899855109E-40</v>
      </c>
      <c r="T148" s="439">
        <v>0.90999999999999803</v>
      </c>
    </row>
    <row r="149" spans="15:20" x14ac:dyDescent="0.3">
      <c r="O149" s="435">
        <f t="shared" si="12"/>
        <v>-99.612912717872675</v>
      </c>
      <c r="P149" s="437">
        <f t="shared" si="13"/>
        <v>-4179.3469764795718</v>
      </c>
      <c r="Q149" s="443">
        <f t="shared" si="14"/>
        <v>0.02</v>
      </c>
      <c r="R149" s="437">
        <f t="shared" si="15"/>
        <v>8.5235451935248603E-41</v>
      </c>
      <c r="T149" s="439">
        <v>0.91999999999999804</v>
      </c>
    </row>
    <row r="150" spans="15:20" x14ac:dyDescent="0.3">
      <c r="O150" s="435">
        <f t="shared" si="12"/>
        <v>-100.6956617691539</v>
      </c>
      <c r="P150" s="437">
        <f t="shared" si="13"/>
        <v>-4224.7746610065233</v>
      </c>
      <c r="Q150" s="443">
        <f t="shared" si="14"/>
        <v>0.02</v>
      </c>
      <c r="R150" s="437">
        <f t="shared" si="15"/>
        <v>2.8866114499768292E-41</v>
      </c>
      <c r="T150" s="439">
        <v>0.92999999999999805</v>
      </c>
    </row>
    <row r="151" spans="15:20" x14ac:dyDescent="0.3">
      <c r="O151" s="435">
        <f t="shared" si="12"/>
        <v>-101.77841082043511</v>
      </c>
      <c r="P151" s="437">
        <f t="shared" si="13"/>
        <v>-4270.2023455334747</v>
      </c>
      <c r="Q151" s="443">
        <f t="shared" si="14"/>
        <v>0.02</v>
      </c>
      <c r="R151" s="437">
        <f t="shared" si="15"/>
        <v>9.7758919251903243E-42</v>
      </c>
      <c r="T151" s="439">
        <v>0.93999999999999795</v>
      </c>
    </row>
    <row r="152" spans="15:20" x14ac:dyDescent="0.3">
      <c r="O152" s="435">
        <f t="shared" si="12"/>
        <v>-102.86115987171634</v>
      </c>
      <c r="P152" s="437">
        <f t="shared" si="13"/>
        <v>-4315.6300300604271</v>
      </c>
      <c r="Q152" s="443">
        <f t="shared" si="14"/>
        <v>0.02</v>
      </c>
      <c r="R152" s="437">
        <f t="shared" si="15"/>
        <v>3.3107352544370725E-42</v>
      </c>
      <c r="T152" s="439">
        <v>0.94999999999999796</v>
      </c>
    </row>
    <row r="153" spans="15:20" x14ac:dyDescent="0.3">
      <c r="O153" s="435">
        <f t="shared" si="12"/>
        <v>-103.94390892299757</v>
      </c>
      <c r="P153" s="437">
        <f t="shared" si="13"/>
        <v>-4361.0577145873795</v>
      </c>
      <c r="Q153" s="443">
        <f t="shared" si="14"/>
        <v>0.02</v>
      </c>
      <c r="R153" s="437">
        <f t="shared" si="15"/>
        <v>1.1212243352167695E-42</v>
      </c>
      <c r="T153" s="439">
        <v>0.95999999999999797</v>
      </c>
    </row>
    <row r="154" spans="15:20" x14ac:dyDescent="0.3">
      <c r="O154" s="435">
        <f t="shared" ref="O154:O217" si="16">-$Z$52*($Z$53-SQRT($Z$53^2-1))*T154</f>
        <v>-105.02665797427879</v>
      </c>
      <c r="P154" s="437">
        <f t="shared" ref="P154:P217" si="17">-$Z$52*($Z$53+SQRT($Z$53^2-1))*T154</f>
        <v>-4406.4853991143309</v>
      </c>
      <c r="Q154" s="443">
        <f t="shared" si="14"/>
        <v>0.02</v>
      </c>
      <c r="R154" s="437">
        <f t="shared" si="15"/>
        <v>3.797174685585182E-43</v>
      </c>
      <c r="T154" s="439">
        <v>0.96999999999999797</v>
      </c>
    </row>
    <row r="155" spans="15:20" x14ac:dyDescent="0.3">
      <c r="O155" s="435">
        <f t="shared" si="16"/>
        <v>-106.10940702556003</v>
      </c>
      <c r="P155" s="437">
        <f t="shared" si="17"/>
        <v>-4451.9130836412833</v>
      </c>
      <c r="Q155" s="443">
        <f t="shared" si="14"/>
        <v>0.02</v>
      </c>
      <c r="R155" s="437">
        <f t="shared" si="15"/>
        <v>1.2859634900861425E-43</v>
      </c>
      <c r="T155" s="439">
        <v>0.97999999999999798</v>
      </c>
    </row>
    <row r="156" spans="15:20" x14ac:dyDescent="0.3">
      <c r="O156" s="435">
        <f t="shared" si="16"/>
        <v>-107.19215607684126</v>
      </c>
      <c r="P156" s="437">
        <f t="shared" si="17"/>
        <v>-4497.3407681682347</v>
      </c>
      <c r="Q156" s="443">
        <f t="shared" si="14"/>
        <v>0.02</v>
      </c>
      <c r="R156" s="437">
        <f t="shared" si="15"/>
        <v>4.355085648580595E-44</v>
      </c>
      <c r="T156" s="439">
        <v>0.98999999999999799</v>
      </c>
    </row>
    <row r="157" spans="15:20" x14ac:dyDescent="0.3">
      <c r="O157" s="435">
        <f t="shared" si="16"/>
        <v>-108.27490512812237</v>
      </c>
      <c r="P157" s="437">
        <f t="shared" si="17"/>
        <v>-4542.7684526951825</v>
      </c>
      <c r="Q157" s="443">
        <f t="shared" si="14"/>
        <v>0.02</v>
      </c>
      <c r="R157" s="437">
        <f t="shared" si="15"/>
        <v>1.4749074256536084E-44</v>
      </c>
      <c r="T157" s="439">
        <v>0.999999999999997</v>
      </c>
    </row>
    <row r="158" spans="15:20" x14ac:dyDescent="0.3">
      <c r="O158" s="435">
        <f t="shared" si="16"/>
        <v>-109.35765417940392</v>
      </c>
      <c r="P158" s="437">
        <f t="shared" si="17"/>
        <v>-4588.1961372221485</v>
      </c>
      <c r="Q158" s="443">
        <f t="shared" si="14"/>
        <v>0.02</v>
      </c>
      <c r="R158" s="437">
        <f t="shared" si="15"/>
        <v>4.994969306645402E-45</v>
      </c>
      <c r="T158" s="439">
        <v>1.01</v>
      </c>
    </row>
    <row r="159" spans="15:20" x14ac:dyDescent="0.3">
      <c r="O159" s="435">
        <f t="shared" si="16"/>
        <v>-110.44040323068515</v>
      </c>
      <c r="P159" s="437">
        <f t="shared" si="17"/>
        <v>-4633.6238217491</v>
      </c>
      <c r="Q159" s="443">
        <f t="shared" si="14"/>
        <v>0.02</v>
      </c>
      <c r="R159" s="437">
        <f t="shared" si="15"/>
        <v>1.6916124999019034E-45</v>
      </c>
      <c r="T159" s="439">
        <v>1.02</v>
      </c>
    </row>
    <row r="160" spans="15:20" x14ac:dyDescent="0.3">
      <c r="O160" s="435">
        <f t="shared" si="16"/>
        <v>-111.52315228196638</v>
      </c>
      <c r="P160" s="437">
        <f t="shared" si="17"/>
        <v>-4679.0515062760524</v>
      </c>
      <c r="Q160" s="443">
        <f t="shared" si="14"/>
        <v>0.02</v>
      </c>
      <c r="R160" s="437">
        <f t="shared" si="15"/>
        <v>5.7288697370318208E-46</v>
      </c>
      <c r="T160" s="439">
        <v>1.03</v>
      </c>
    </row>
    <row r="161" spans="15:20" x14ac:dyDescent="0.3">
      <c r="O161" s="435">
        <f t="shared" si="16"/>
        <v>-112.60590133324762</v>
      </c>
      <c r="P161" s="437">
        <f t="shared" si="17"/>
        <v>-4724.4791908030038</v>
      </c>
      <c r="Q161" s="443">
        <f t="shared" si="14"/>
        <v>0.02</v>
      </c>
      <c r="R161" s="437">
        <f t="shared" si="15"/>
        <v>1.9401575990826392E-46</v>
      </c>
      <c r="T161" s="439">
        <v>1.04</v>
      </c>
    </row>
    <row r="162" spans="15:20" x14ac:dyDescent="0.3">
      <c r="O162" s="435">
        <f t="shared" si="16"/>
        <v>-113.68865038452884</v>
      </c>
      <c r="P162" s="437">
        <f t="shared" si="17"/>
        <v>-4769.9068753299562</v>
      </c>
      <c r="Q162" s="443">
        <f t="shared" si="14"/>
        <v>0.02</v>
      </c>
      <c r="R162" s="437">
        <f t="shared" si="15"/>
        <v>6.5706006281588741E-47</v>
      </c>
      <c r="T162" s="439">
        <v>1.05</v>
      </c>
    </row>
    <row r="163" spans="15:20" x14ac:dyDescent="0.3">
      <c r="O163" s="435">
        <f t="shared" si="16"/>
        <v>-114.77139943581007</v>
      </c>
      <c r="P163" s="437">
        <f t="shared" si="17"/>
        <v>-4815.3345598569085</v>
      </c>
      <c r="Q163" s="443">
        <f t="shared" si="14"/>
        <v>0.02</v>
      </c>
      <c r="R163" s="437">
        <f t="shared" si="15"/>
        <v>2.2252209117019715E-47</v>
      </c>
      <c r="T163" s="439">
        <v>1.06</v>
      </c>
    </row>
    <row r="164" spans="15:20" x14ac:dyDescent="0.3">
      <c r="O164" s="435">
        <f t="shared" si="16"/>
        <v>-115.85414848709129</v>
      </c>
      <c r="P164" s="437">
        <f t="shared" si="17"/>
        <v>-4860.76224438386</v>
      </c>
      <c r="Q164" s="443">
        <f t="shared" si="14"/>
        <v>0.02</v>
      </c>
      <c r="R164" s="437">
        <f t="shared" si="15"/>
        <v>7.5360052848977188E-48</v>
      </c>
      <c r="T164" s="439">
        <v>1.07</v>
      </c>
    </row>
    <row r="165" spans="15:20" x14ac:dyDescent="0.3">
      <c r="O165" s="435">
        <f t="shared" si="16"/>
        <v>-116.93689753837252</v>
      </c>
      <c r="P165" s="437">
        <f t="shared" si="17"/>
        <v>-4906.1899289108123</v>
      </c>
      <c r="Q165" s="443">
        <f t="shared" si="14"/>
        <v>0.02</v>
      </c>
      <c r="R165" s="437">
        <f t="shared" si="15"/>
        <v>2.5521679827540883E-48</v>
      </c>
      <c r="T165" s="439">
        <v>1.08</v>
      </c>
    </row>
    <row r="166" spans="15:20" x14ac:dyDescent="0.3">
      <c r="O166" s="435">
        <f t="shared" si="16"/>
        <v>-118.01964658965375</v>
      </c>
      <c r="P166" s="437">
        <f t="shared" si="17"/>
        <v>-4951.6176134377638</v>
      </c>
      <c r="Q166" s="443">
        <f t="shared" si="14"/>
        <v>0.02</v>
      </c>
      <c r="R166" s="437">
        <f t="shared" si="15"/>
        <v>8.6432548358854769E-49</v>
      </c>
      <c r="T166" s="439">
        <v>1.0900000000000001</v>
      </c>
    </row>
    <row r="167" spans="15:20" x14ac:dyDescent="0.3">
      <c r="O167" s="435">
        <f t="shared" si="16"/>
        <v>-119.10239564093497</v>
      </c>
      <c r="P167" s="437">
        <f t="shared" si="17"/>
        <v>-4997.0452979647162</v>
      </c>
      <c r="Q167" s="443">
        <f t="shared" si="14"/>
        <v>0.02</v>
      </c>
      <c r="R167" s="437">
        <f t="shared" si="15"/>
        <v>2.9271527055770569E-49</v>
      </c>
      <c r="T167" s="439">
        <v>1.1000000000000001</v>
      </c>
    </row>
    <row r="168" spans="15:20" x14ac:dyDescent="0.3">
      <c r="O168" s="435">
        <f t="shared" si="16"/>
        <v>-120.1851446922162</v>
      </c>
      <c r="P168" s="437">
        <f t="shared" si="17"/>
        <v>-5042.4729824916685</v>
      </c>
      <c r="Q168" s="443">
        <f t="shared" si="14"/>
        <v>0.02</v>
      </c>
      <c r="R168" s="437">
        <f t="shared" si="15"/>
        <v>9.9131902558202139E-50</v>
      </c>
      <c r="T168" s="439">
        <v>1.1100000000000001</v>
      </c>
    </row>
    <row r="169" spans="15:20" x14ac:dyDescent="0.3">
      <c r="O169" s="435">
        <f t="shared" si="16"/>
        <v>-121.26789374349744</v>
      </c>
      <c r="P169" s="437">
        <f t="shared" si="17"/>
        <v>-5087.90066701862</v>
      </c>
      <c r="Q169" s="443">
        <f t="shared" si="14"/>
        <v>0.02</v>
      </c>
      <c r="R169" s="437">
        <f t="shared" si="15"/>
        <v>3.3572331522319498E-50</v>
      </c>
      <c r="T169" s="439">
        <v>1.1200000000000001</v>
      </c>
    </row>
    <row r="170" spans="15:20" x14ac:dyDescent="0.3">
      <c r="O170" s="435">
        <f t="shared" si="16"/>
        <v>-122.35064279477864</v>
      </c>
      <c r="P170" s="437">
        <f t="shared" si="17"/>
        <v>-5133.3283515455714</v>
      </c>
      <c r="Q170" s="443">
        <f t="shared" si="14"/>
        <v>0.02</v>
      </c>
      <c r="R170" s="437">
        <f t="shared" si="15"/>
        <v>1.1369714640378596E-50</v>
      </c>
      <c r="T170" s="439">
        <v>1.1299999999999999</v>
      </c>
    </row>
    <row r="171" spans="15:20" x14ac:dyDescent="0.3">
      <c r="O171" s="435">
        <f t="shared" si="16"/>
        <v>-123.43339184605986</v>
      </c>
      <c r="P171" s="437">
        <f t="shared" si="17"/>
        <v>-5178.7560360725229</v>
      </c>
      <c r="Q171" s="443">
        <f t="shared" si="14"/>
        <v>0.02</v>
      </c>
      <c r="R171" s="437">
        <f t="shared" si="15"/>
        <v>3.850504422598544E-51</v>
      </c>
      <c r="T171" s="439">
        <v>1.1399999999999999</v>
      </c>
    </row>
    <row r="172" spans="15:20" x14ac:dyDescent="0.3">
      <c r="O172" s="435">
        <f t="shared" si="16"/>
        <v>-124.51614089734109</v>
      </c>
      <c r="P172" s="437">
        <f t="shared" si="17"/>
        <v>-5224.1837205994752</v>
      </c>
      <c r="Q172" s="443">
        <f t="shared" si="14"/>
        <v>0.02</v>
      </c>
      <c r="R172" s="437">
        <f t="shared" si="15"/>
        <v>1.3040243117268991E-51</v>
      </c>
      <c r="T172" s="439">
        <v>1.1499999999999999</v>
      </c>
    </row>
    <row r="173" spans="15:20" x14ac:dyDescent="0.3">
      <c r="O173" s="435">
        <f t="shared" si="16"/>
        <v>-125.59888994862231</v>
      </c>
      <c r="P173" s="437">
        <f t="shared" si="17"/>
        <v>-5269.6114051264276</v>
      </c>
      <c r="Q173" s="443">
        <f t="shared" si="14"/>
        <v>0.02</v>
      </c>
      <c r="R173" s="437">
        <f t="shared" si="15"/>
        <v>4.4162510127107722E-52</v>
      </c>
      <c r="T173" s="439">
        <v>1.1599999999999999</v>
      </c>
    </row>
    <row r="174" spans="15:20" x14ac:dyDescent="0.3">
      <c r="O174" s="435">
        <f t="shared" si="16"/>
        <v>-126.68163899990354</v>
      </c>
      <c r="P174" s="437">
        <f t="shared" si="17"/>
        <v>-5315.0390896533791</v>
      </c>
      <c r="Q174" s="443">
        <f t="shared" si="14"/>
        <v>0.02</v>
      </c>
      <c r="R174" s="437">
        <f t="shared" si="15"/>
        <v>1.4956218861779535E-52</v>
      </c>
      <c r="T174" s="439">
        <v>1.17</v>
      </c>
    </row>
    <row r="175" spans="15:20" x14ac:dyDescent="0.3">
      <c r="O175" s="435">
        <f t="shared" si="16"/>
        <v>-127.76438805118478</v>
      </c>
      <c r="P175" s="437">
        <f t="shared" si="17"/>
        <v>-5360.4667741803314</v>
      </c>
      <c r="Q175" s="443">
        <f t="shared" si="14"/>
        <v>0.02</v>
      </c>
      <c r="R175" s="437">
        <f t="shared" si="15"/>
        <v>5.0651215702556462E-53</v>
      </c>
      <c r="T175" s="439">
        <v>1.18</v>
      </c>
    </row>
    <row r="176" spans="15:20" x14ac:dyDescent="0.3">
      <c r="O176" s="435">
        <f t="shared" si="16"/>
        <v>-128.84713710246601</v>
      </c>
      <c r="P176" s="437">
        <f t="shared" si="17"/>
        <v>-5405.8944587072829</v>
      </c>
      <c r="Q176" s="443">
        <f t="shared" si="14"/>
        <v>0.02</v>
      </c>
      <c r="R176" s="437">
        <f t="shared" si="15"/>
        <v>1.7153704929413438E-53</v>
      </c>
      <c r="T176" s="439">
        <v>1.19</v>
      </c>
    </row>
    <row r="177" spans="15:20" x14ac:dyDescent="0.3">
      <c r="O177" s="435">
        <f t="shared" si="16"/>
        <v>-129.92988615374722</v>
      </c>
      <c r="P177" s="437">
        <f t="shared" si="17"/>
        <v>-5451.3221432342352</v>
      </c>
      <c r="Q177" s="443">
        <f t="shared" si="14"/>
        <v>0.02</v>
      </c>
      <c r="R177" s="437">
        <f t="shared" si="15"/>
        <v>5.8093293265325463E-54</v>
      </c>
      <c r="T177" s="439">
        <v>1.2</v>
      </c>
    </row>
    <row r="178" spans="15:20" x14ac:dyDescent="0.3">
      <c r="O178" s="435">
        <f t="shared" si="16"/>
        <v>-131.01263520502846</v>
      </c>
      <c r="P178" s="437">
        <f t="shared" si="17"/>
        <v>-5496.7498277611876</v>
      </c>
      <c r="Q178" s="443">
        <f t="shared" si="14"/>
        <v>0.02</v>
      </c>
      <c r="R178" s="437">
        <f t="shared" si="15"/>
        <v>1.9674063045261991E-54</v>
      </c>
      <c r="T178" s="439">
        <v>1.21</v>
      </c>
    </row>
    <row r="179" spans="15:20" x14ac:dyDescent="0.3">
      <c r="O179" s="435">
        <f t="shared" si="16"/>
        <v>-132.0953842563097</v>
      </c>
      <c r="P179" s="437">
        <f t="shared" si="17"/>
        <v>-5542.177512288139</v>
      </c>
      <c r="Q179" s="443">
        <f t="shared" si="14"/>
        <v>0.02</v>
      </c>
      <c r="R179" s="437">
        <f t="shared" si="15"/>
        <v>6.6628819774618586E-55</v>
      </c>
      <c r="T179" s="439">
        <v>1.22</v>
      </c>
    </row>
    <row r="180" spans="15:20" x14ac:dyDescent="0.3">
      <c r="O180" s="435">
        <f t="shared" si="16"/>
        <v>-133.17813330759091</v>
      </c>
      <c r="P180" s="437">
        <f t="shared" si="17"/>
        <v>-5587.6051968150914</v>
      </c>
      <c r="Q180" s="443">
        <f t="shared" si="14"/>
        <v>0.02</v>
      </c>
      <c r="R180" s="437">
        <f t="shared" si="15"/>
        <v>2.25647321264829E-55</v>
      </c>
      <c r="T180" s="439">
        <v>1.23</v>
      </c>
    </row>
    <row r="181" spans="15:20" x14ac:dyDescent="0.3">
      <c r="O181" s="435">
        <f t="shared" si="16"/>
        <v>-134.26088235887215</v>
      </c>
      <c r="P181" s="437">
        <f t="shared" si="17"/>
        <v>-5633.0328813420429</v>
      </c>
      <c r="Q181" s="443">
        <f t="shared" si="14"/>
        <v>0.02</v>
      </c>
      <c r="R181" s="437">
        <f t="shared" si="15"/>
        <v>7.6418453405334927E-56</v>
      </c>
      <c r="T181" s="439">
        <v>1.24</v>
      </c>
    </row>
    <row r="182" spans="15:20" x14ac:dyDescent="0.3">
      <c r="O182" s="435">
        <f t="shared" si="16"/>
        <v>-135.34363141015336</v>
      </c>
      <c r="P182" s="437">
        <f t="shared" si="17"/>
        <v>-5678.4605658689952</v>
      </c>
      <c r="Q182" s="443">
        <f t="shared" si="14"/>
        <v>0.02</v>
      </c>
      <c r="R182" s="437">
        <f t="shared" si="15"/>
        <v>2.5880121191466332E-56</v>
      </c>
      <c r="T182" s="439">
        <v>1.25</v>
      </c>
    </row>
    <row r="183" spans="15:20" x14ac:dyDescent="0.3">
      <c r="O183" s="435">
        <f t="shared" si="16"/>
        <v>-136.4263804614346</v>
      </c>
      <c r="P183" s="437">
        <f t="shared" si="17"/>
        <v>-5723.8882503959476</v>
      </c>
      <c r="Q183" s="443">
        <f t="shared" si="14"/>
        <v>0.02</v>
      </c>
      <c r="R183" s="437">
        <f t="shared" si="15"/>
        <v>8.7646457503182964E-57</v>
      </c>
      <c r="T183" s="439">
        <v>1.26</v>
      </c>
    </row>
    <row r="184" spans="15:20" x14ac:dyDescent="0.3">
      <c r="O184" s="435">
        <f t="shared" si="16"/>
        <v>-137.50912951271582</v>
      </c>
      <c r="P184" s="437">
        <f t="shared" si="17"/>
        <v>-5769.315934922899</v>
      </c>
      <c r="Q184" s="443">
        <f t="shared" si="14"/>
        <v>0.02</v>
      </c>
      <c r="R184" s="437">
        <f t="shared" si="15"/>
        <v>2.9682633462282604E-57</v>
      </c>
      <c r="T184" s="439">
        <v>1.27</v>
      </c>
    </row>
    <row r="185" spans="15:20" x14ac:dyDescent="0.3">
      <c r="O185" s="435">
        <f t="shared" si="16"/>
        <v>-138.59187856399706</v>
      </c>
      <c r="P185" s="437">
        <f t="shared" si="17"/>
        <v>-5814.7436194498514</v>
      </c>
      <c r="Q185" s="443">
        <f t="shared" si="14"/>
        <v>0.02</v>
      </c>
      <c r="R185" s="437">
        <f t="shared" si="15"/>
        <v>1.0052416884324131E-57</v>
      </c>
      <c r="T185" s="439">
        <v>1.28</v>
      </c>
    </row>
    <row r="186" spans="15:20" x14ac:dyDescent="0.3">
      <c r="O186" s="435">
        <f t="shared" si="16"/>
        <v>-139.6746276152783</v>
      </c>
      <c r="P186" s="437">
        <f t="shared" si="17"/>
        <v>-5860.1713039768028</v>
      </c>
      <c r="Q186" s="443">
        <f t="shared" ref="Q186:Q249" si="18">$S$57*(1+(EXP(O186)/(2*SQRT($Z$53^2-1)*(SQRT($Z$53^2-1)-$Z$53)))+(EXP(P186)/(2*SQRT($Z$53^2-1)*(SQRT($Z$53^2-1)+$Z$53))))</f>
        <v>0.02</v>
      </c>
      <c r="R186" s="437">
        <f t="shared" ref="R186:R249" si="19">$S$57*$Z$52^2/(2*SQRT($Z$53^2-1))*(EXP(O186)-EXP(P186))</f>
        <v>3.4043840936367517E-58</v>
      </c>
      <c r="T186" s="439">
        <v>1.29</v>
      </c>
    </row>
    <row r="187" spans="15:20" x14ac:dyDescent="0.3">
      <c r="O187" s="435">
        <f t="shared" si="16"/>
        <v>-140.75737666655951</v>
      </c>
      <c r="P187" s="437">
        <f t="shared" si="17"/>
        <v>-5905.5989885037552</v>
      </c>
      <c r="Q187" s="443">
        <f t="shared" si="18"/>
        <v>0.02</v>
      </c>
      <c r="R187" s="437">
        <f t="shared" si="19"/>
        <v>1.1529397547251139E-58</v>
      </c>
      <c r="T187" s="439">
        <v>1.3</v>
      </c>
    </row>
    <row r="188" spans="15:20" x14ac:dyDescent="0.3">
      <c r="O188" s="435">
        <f t="shared" si="16"/>
        <v>-141.84012571784075</v>
      </c>
      <c r="P188" s="437">
        <f t="shared" si="17"/>
        <v>-5951.0266730307076</v>
      </c>
      <c r="Q188" s="443">
        <f t="shared" si="18"/>
        <v>0.02</v>
      </c>
      <c r="R188" s="437">
        <f t="shared" si="19"/>
        <v>3.9045831535582338E-59</v>
      </c>
      <c r="T188" s="439">
        <v>1.31</v>
      </c>
    </row>
    <row r="189" spans="15:20" x14ac:dyDescent="0.3">
      <c r="O189" s="435">
        <f t="shared" si="16"/>
        <v>-142.92287476912196</v>
      </c>
      <c r="P189" s="437">
        <f t="shared" si="17"/>
        <v>-5996.454357557659</v>
      </c>
      <c r="Q189" s="443">
        <f t="shared" si="18"/>
        <v>0.02</v>
      </c>
      <c r="R189" s="437">
        <f t="shared" si="19"/>
        <v>1.3223387900858813E-59</v>
      </c>
      <c r="T189" s="439">
        <v>1.32</v>
      </c>
    </row>
    <row r="190" spans="15:20" x14ac:dyDescent="0.3">
      <c r="O190" s="435">
        <f t="shared" si="16"/>
        <v>-144.0056238204032</v>
      </c>
      <c r="P190" s="437">
        <f t="shared" si="17"/>
        <v>-6041.8820420846114</v>
      </c>
      <c r="Q190" s="443">
        <f t="shared" si="18"/>
        <v>0.02</v>
      </c>
      <c r="R190" s="437">
        <f t="shared" si="19"/>
        <v>4.4782754189067983E-60</v>
      </c>
      <c r="T190" s="439">
        <v>1.33</v>
      </c>
    </row>
    <row r="191" spans="15:20" x14ac:dyDescent="0.3">
      <c r="O191" s="435">
        <f t="shared" si="16"/>
        <v>-145.08837287168441</v>
      </c>
      <c r="P191" s="437">
        <f t="shared" si="17"/>
        <v>-6087.3097266115628</v>
      </c>
      <c r="Q191" s="443">
        <f t="shared" si="18"/>
        <v>0.02</v>
      </c>
      <c r="R191" s="437">
        <f t="shared" si="19"/>
        <v>1.516627272673664E-60</v>
      </c>
      <c r="T191" s="439">
        <v>1.34</v>
      </c>
    </row>
    <row r="192" spans="15:20" x14ac:dyDescent="0.3">
      <c r="O192" s="435">
        <f t="shared" si="16"/>
        <v>-146.17112192296565</v>
      </c>
      <c r="P192" s="437">
        <f t="shared" si="17"/>
        <v>-6132.7374111385152</v>
      </c>
      <c r="Q192" s="443">
        <f t="shared" si="18"/>
        <v>0.02</v>
      </c>
      <c r="R192" s="437">
        <f t="shared" si="19"/>
        <v>5.1362590931912536E-61</v>
      </c>
      <c r="T192" s="439">
        <v>1.35</v>
      </c>
    </row>
    <row r="193" spans="15:20" x14ac:dyDescent="0.3">
      <c r="O193" s="435">
        <f t="shared" si="16"/>
        <v>-147.25387097424687</v>
      </c>
      <c r="P193" s="437">
        <f t="shared" si="17"/>
        <v>-6178.1650956654676</v>
      </c>
      <c r="Q193" s="443">
        <f t="shared" si="18"/>
        <v>0.02</v>
      </c>
      <c r="R193" s="437">
        <f t="shared" si="19"/>
        <v>1.7394621570983097E-61</v>
      </c>
      <c r="T193" s="439">
        <v>1.36</v>
      </c>
    </row>
    <row r="194" spans="15:20" x14ac:dyDescent="0.3">
      <c r="O194" s="435">
        <f t="shared" si="16"/>
        <v>-148.33662002552811</v>
      </c>
      <c r="P194" s="437">
        <f t="shared" si="17"/>
        <v>-6223.592780192419</v>
      </c>
      <c r="Q194" s="443">
        <f t="shared" si="18"/>
        <v>0.02</v>
      </c>
      <c r="R194" s="437">
        <f t="shared" si="19"/>
        <v>5.8909189374578028E-62</v>
      </c>
      <c r="T194" s="439">
        <v>1.37</v>
      </c>
    </row>
    <row r="195" spans="15:20" x14ac:dyDescent="0.3">
      <c r="O195" s="435">
        <f t="shared" si="16"/>
        <v>-149.41936907680932</v>
      </c>
      <c r="P195" s="437">
        <f t="shared" si="17"/>
        <v>-6269.0204647193705</v>
      </c>
      <c r="Q195" s="443">
        <f t="shared" si="18"/>
        <v>0.02</v>
      </c>
      <c r="R195" s="437">
        <f t="shared" si="19"/>
        <v>1.9950377066891624E-62</v>
      </c>
      <c r="T195" s="439">
        <v>1.38</v>
      </c>
    </row>
    <row r="196" spans="15:20" x14ac:dyDescent="0.3">
      <c r="O196" s="435">
        <f t="shared" si="16"/>
        <v>-150.50211812809053</v>
      </c>
      <c r="P196" s="437">
        <f t="shared" si="17"/>
        <v>-6314.4481492463219</v>
      </c>
      <c r="Q196" s="443">
        <f t="shared" si="18"/>
        <v>0.02</v>
      </c>
      <c r="R196" s="437">
        <f t="shared" si="19"/>
        <v>6.7564593798827204E-63</v>
      </c>
      <c r="T196" s="439">
        <v>1.39</v>
      </c>
    </row>
    <row r="197" spans="15:20" x14ac:dyDescent="0.3">
      <c r="O197" s="435">
        <f t="shared" si="16"/>
        <v>-151.58486717937177</v>
      </c>
      <c r="P197" s="437">
        <f t="shared" si="17"/>
        <v>-6359.8758337732743</v>
      </c>
      <c r="Q197" s="443">
        <f t="shared" si="18"/>
        <v>0.02</v>
      </c>
      <c r="R197" s="437">
        <f t="shared" si="19"/>
        <v>2.2881644391454289E-63</v>
      </c>
      <c r="T197" s="439">
        <v>1.4</v>
      </c>
    </row>
    <row r="198" spans="15:20" x14ac:dyDescent="0.3">
      <c r="O198" s="435">
        <f t="shared" si="16"/>
        <v>-152.66761623065298</v>
      </c>
      <c r="P198" s="437">
        <f t="shared" si="17"/>
        <v>-6405.3035183002266</v>
      </c>
      <c r="Q198" s="443">
        <f t="shared" si="18"/>
        <v>0.02</v>
      </c>
      <c r="R198" s="437">
        <f t="shared" si="19"/>
        <v>7.7491718756706936E-64</v>
      </c>
      <c r="T198" s="439">
        <v>1.41</v>
      </c>
    </row>
    <row r="199" spans="15:20" x14ac:dyDescent="0.3">
      <c r="O199" s="435">
        <f t="shared" si="16"/>
        <v>-153.75036528193422</v>
      </c>
      <c r="P199" s="437">
        <f t="shared" si="17"/>
        <v>-6450.7312028271781</v>
      </c>
      <c r="Q199" s="443">
        <f t="shared" si="18"/>
        <v>0.02</v>
      </c>
      <c r="R199" s="437">
        <f t="shared" si="19"/>
        <v>2.6243596715064311E-64</v>
      </c>
      <c r="T199" s="439">
        <v>1.42</v>
      </c>
    </row>
    <row r="200" spans="15:20" x14ac:dyDescent="0.3">
      <c r="O200" s="435">
        <f t="shared" si="16"/>
        <v>-154.83311433321546</v>
      </c>
      <c r="P200" s="437">
        <f t="shared" si="17"/>
        <v>-6496.1588873541305</v>
      </c>
      <c r="Q200" s="443">
        <f t="shared" si="18"/>
        <v>0.02</v>
      </c>
      <c r="R200" s="437">
        <f t="shared" si="19"/>
        <v>8.8877415495875164E-65</v>
      </c>
      <c r="T200" s="439">
        <v>1.43</v>
      </c>
    </row>
    <row r="201" spans="15:20" x14ac:dyDescent="0.3">
      <c r="O201" s="435">
        <f t="shared" si="16"/>
        <v>-155.91586338449667</v>
      </c>
      <c r="P201" s="437">
        <f t="shared" si="17"/>
        <v>-6541.5865718810819</v>
      </c>
      <c r="Q201" s="443">
        <f t="shared" si="18"/>
        <v>0.02</v>
      </c>
      <c r="R201" s="437">
        <f t="shared" si="19"/>
        <v>3.0099513687056347E-65</v>
      </c>
      <c r="T201" s="439">
        <v>1.44</v>
      </c>
    </row>
    <row r="202" spans="15:20" x14ac:dyDescent="0.3">
      <c r="O202" s="435">
        <f t="shared" si="16"/>
        <v>-156.99861243577791</v>
      </c>
      <c r="P202" s="437">
        <f t="shared" si="17"/>
        <v>-6587.0142564080343</v>
      </c>
      <c r="Q202" s="443">
        <f t="shared" si="18"/>
        <v>0.02</v>
      </c>
      <c r="R202" s="437">
        <f t="shared" si="19"/>
        <v>1.0193598892840372E-65</v>
      </c>
      <c r="T202" s="439">
        <v>1.45</v>
      </c>
    </row>
    <row r="203" spans="15:20" x14ac:dyDescent="0.3">
      <c r="O203" s="435">
        <f t="shared" si="16"/>
        <v>-158.08136148705913</v>
      </c>
      <c r="P203" s="437">
        <f t="shared" si="17"/>
        <v>-6632.4419409349866</v>
      </c>
      <c r="Q203" s="443">
        <f t="shared" si="18"/>
        <v>0.02</v>
      </c>
      <c r="R203" s="437">
        <f t="shared" si="19"/>
        <v>3.4521972503762895E-66</v>
      </c>
      <c r="T203" s="439">
        <v>1.46</v>
      </c>
    </row>
    <row r="204" spans="15:20" x14ac:dyDescent="0.3">
      <c r="O204" s="435">
        <f t="shared" si="16"/>
        <v>-159.16411053834037</v>
      </c>
      <c r="P204" s="437">
        <f t="shared" si="17"/>
        <v>-6677.8696254619381</v>
      </c>
      <c r="Q204" s="443">
        <f t="shared" si="18"/>
        <v>0.02</v>
      </c>
      <c r="R204" s="437">
        <f t="shared" si="19"/>
        <v>1.1691323134046238E-66</v>
      </c>
      <c r="T204" s="439">
        <v>1.47</v>
      </c>
    </row>
    <row r="205" spans="15:20" x14ac:dyDescent="0.3">
      <c r="O205" s="435">
        <f t="shared" si="16"/>
        <v>-160.24685958962158</v>
      </c>
      <c r="P205" s="437">
        <f t="shared" si="17"/>
        <v>-6723.2973099888904</v>
      </c>
      <c r="Q205" s="443">
        <f t="shared" si="18"/>
        <v>0.02</v>
      </c>
      <c r="R205" s="437">
        <f t="shared" si="19"/>
        <v>3.9594213977718021E-67</v>
      </c>
      <c r="T205" s="439">
        <v>1.48</v>
      </c>
    </row>
    <row r="206" spans="15:20" x14ac:dyDescent="0.3">
      <c r="O206" s="435">
        <f t="shared" si="16"/>
        <v>-161.32960864090282</v>
      </c>
      <c r="P206" s="437">
        <f t="shared" si="17"/>
        <v>-6768.7249945158419</v>
      </c>
      <c r="Q206" s="443">
        <f t="shared" si="18"/>
        <v>0.02</v>
      </c>
      <c r="R206" s="437">
        <f t="shared" si="19"/>
        <v>1.3409104876658322E-67</v>
      </c>
      <c r="T206" s="439">
        <v>1.49</v>
      </c>
    </row>
    <row r="207" spans="15:20" x14ac:dyDescent="0.3">
      <c r="O207" s="435">
        <f t="shared" si="16"/>
        <v>-162.41235769218406</v>
      </c>
      <c r="P207" s="437">
        <f t="shared" si="17"/>
        <v>-6814.1526790427943</v>
      </c>
      <c r="Q207" s="443">
        <f t="shared" si="18"/>
        <v>0.02</v>
      </c>
      <c r="R207" s="437">
        <f t="shared" si="19"/>
        <v>4.5411709320560894E-68</v>
      </c>
      <c r="T207" s="439">
        <v>1.5</v>
      </c>
    </row>
    <row r="208" spans="15:20" x14ac:dyDescent="0.3">
      <c r="O208" s="435">
        <f t="shared" si="16"/>
        <v>-163.49510674346527</v>
      </c>
      <c r="P208" s="437">
        <f t="shared" si="17"/>
        <v>-6859.5803635697466</v>
      </c>
      <c r="Q208" s="443">
        <f t="shared" si="18"/>
        <v>0.02</v>
      </c>
      <c r="R208" s="437">
        <f t="shared" si="19"/>
        <v>1.5379276710744185E-68</v>
      </c>
      <c r="T208" s="439">
        <v>1.51</v>
      </c>
    </row>
    <row r="209" spans="15:20" x14ac:dyDescent="0.3">
      <c r="O209" s="435">
        <f t="shared" si="16"/>
        <v>-164.57785579474651</v>
      </c>
      <c r="P209" s="437">
        <f t="shared" si="17"/>
        <v>-6905.0080480966981</v>
      </c>
      <c r="Q209" s="443">
        <f t="shared" si="18"/>
        <v>0.02</v>
      </c>
      <c r="R209" s="437">
        <f t="shared" si="19"/>
        <v>5.2083957130092541E-69</v>
      </c>
      <c r="T209" s="439">
        <v>1.52</v>
      </c>
    </row>
    <row r="210" spans="15:20" x14ac:dyDescent="0.3">
      <c r="O210" s="435">
        <f t="shared" si="16"/>
        <v>-165.66060484602664</v>
      </c>
      <c r="P210" s="437">
        <f t="shared" si="17"/>
        <v>-6950.435732623605</v>
      </c>
      <c r="Q210" s="443">
        <f t="shared" si="18"/>
        <v>0.02</v>
      </c>
      <c r="R210" s="437">
        <f t="shared" si="19"/>
        <v>1.763892178646585E-69</v>
      </c>
      <c r="T210" s="439">
        <v>1.52999999999999</v>
      </c>
    </row>
    <row r="211" spans="15:20" x14ac:dyDescent="0.3">
      <c r="O211" s="435">
        <f t="shared" si="16"/>
        <v>-166.74335389730788</v>
      </c>
      <c r="P211" s="437">
        <f t="shared" si="17"/>
        <v>-6995.8634171505573</v>
      </c>
      <c r="Q211" s="443">
        <f t="shared" si="18"/>
        <v>0.02</v>
      </c>
      <c r="R211" s="437">
        <f t="shared" si="19"/>
        <v>5.9736544404947341E-70</v>
      </c>
      <c r="T211" s="439">
        <v>1.53999999999999</v>
      </c>
    </row>
    <row r="212" spans="15:20" x14ac:dyDescent="0.3">
      <c r="O212" s="435">
        <f t="shared" si="16"/>
        <v>-167.8261029485891</v>
      </c>
      <c r="P212" s="437">
        <f t="shared" si="17"/>
        <v>-7041.2911016775088</v>
      </c>
      <c r="Q212" s="443">
        <f t="shared" si="18"/>
        <v>0.02</v>
      </c>
      <c r="R212" s="437">
        <f t="shared" si="19"/>
        <v>2.0230571803897808E-70</v>
      </c>
      <c r="T212" s="439">
        <v>1.5499999999999901</v>
      </c>
    </row>
    <row r="213" spans="15:20" x14ac:dyDescent="0.3">
      <c r="O213" s="435">
        <f t="shared" si="16"/>
        <v>-168.90885199987034</v>
      </c>
      <c r="P213" s="437">
        <f t="shared" si="17"/>
        <v>-7086.7187862044611</v>
      </c>
      <c r="Q213" s="443">
        <f t="shared" si="18"/>
        <v>0.02</v>
      </c>
      <c r="R213" s="437">
        <f t="shared" si="19"/>
        <v>6.8513510379545376E-71</v>
      </c>
      <c r="T213" s="439">
        <v>1.5599999999999901</v>
      </c>
    </row>
    <row r="214" spans="15:20" x14ac:dyDescent="0.3">
      <c r="O214" s="435">
        <f t="shared" si="16"/>
        <v>-169.99160105115155</v>
      </c>
      <c r="P214" s="437">
        <f t="shared" si="17"/>
        <v>-7132.1464707314126</v>
      </c>
      <c r="Q214" s="443">
        <f t="shared" si="18"/>
        <v>0.02</v>
      </c>
      <c r="R214" s="437">
        <f t="shared" si="19"/>
        <v>2.3203007557224842E-71</v>
      </c>
      <c r="T214" s="439">
        <v>1.5699999999999901</v>
      </c>
    </row>
    <row r="215" spans="15:20" x14ac:dyDescent="0.3">
      <c r="O215" s="435">
        <f t="shared" si="16"/>
        <v>-171.07435010243279</v>
      </c>
      <c r="P215" s="437">
        <f t="shared" si="17"/>
        <v>-7177.574155258365</v>
      </c>
      <c r="Q215" s="443">
        <f t="shared" si="18"/>
        <v>0.02</v>
      </c>
      <c r="R215" s="437">
        <f t="shared" si="19"/>
        <v>7.8580057673026536E-72</v>
      </c>
      <c r="T215" s="439">
        <v>1.5799999999999901</v>
      </c>
    </row>
    <row r="216" spans="15:20" x14ac:dyDescent="0.3">
      <c r="O216" s="435">
        <f t="shared" si="16"/>
        <v>-172.15709915371403</v>
      </c>
      <c r="P216" s="437">
        <f t="shared" si="17"/>
        <v>-7223.0018397853173</v>
      </c>
      <c r="Q216" s="443">
        <f t="shared" si="18"/>
        <v>0.02</v>
      </c>
      <c r="R216" s="437">
        <f t="shared" si="19"/>
        <v>2.6612177101039168E-72</v>
      </c>
      <c r="T216" s="439">
        <v>1.5899999999999901</v>
      </c>
    </row>
    <row r="217" spans="15:20" x14ac:dyDescent="0.3">
      <c r="O217" s="435">
        <f t="shared" si="16"/>
        <v>-173.23984820499524</v>
      </c>
      <c r="P217" s="437">
        <f t="shared" si="17"/>
        <v>-7268.4295243122688</v>
      </c>
      <c r="Q217" s="443">
        <f t="shared" si="18"/>
        <v>0.02</v>
      </c>
      <c r="R217" s="437">
        <f t="shared" si="19"/>
        <v>9.012566178100346E-73</v>
      </c>
      <c r="T217" s="439">
        <v>1.5999999999999901</v>
      </c>
    </row>
    <row r="218" spans="15:20" x14ac:dyDescent="0.3">
      <c r="O218" s="435">
        <f t="shared" ref="O218:O281" si="20">-$Z$52*($Z$53-SQRT($Z$53^2-1))*T218</f>
        <v>-174.32259725627648</v>
      </c>
      <c r="P218" s="437">
        <f t="shared" ref="P218:P281" si="21">-$Z$52*($Z$53+SQRT($Z$53^2-1))*T218</f>
        <v>-7313.8572088392211</v>
      </c>
      <c r="Q218" s="443">
        <f t="shared" si="18"/>
        <v>0.02</v>
      </c>
      <c r="R218" s="437">
        <f t="shared" si="19"/>
        <v>3.052224882099713E-73</v>
      </c>
      <c r="T218" s="439">
        <v>1.6099999999999901</v>
      </c>
    </row>
    <row r="219" spans="15:20" x14ac:dyDescent="0.3">
      <c r="O219" s="435">
        <f t="shared" si="20"/>
        <v>-175.40534630755766</v>
      </c>
      <c r="P219" s="437">
        <f t="shared" si="21"/>
        <v>-7359.2848933661717</v>
      </c>
      <c r="Q219" s="443">
        <f t="shared" si="18"/>
        <v>0.02</v>
      </c>
      <c r="R219" s="437">
        <f t="shared" si="19"/>
        <v>1.0336763743878289E-73</v>
      </c>
      <c r="T219" s="439">
        <v>1.6199999999999899</v>
      </c>
    </row>
    <row r="220" spans="15:20" x14ac:dyDescent="0.3">
      <c r="O220" s="435">
        <f t="shared" si="20"/>
        <v>-176.4880953588389</v>
      </c>
      <c r="P220" s="437">
        <f t="shared" si="21"/>
        <v>-7404.712577893124</v>
      </c>
      <c r="Q220" s="443">
        <f t="shared" si="18"/>
        <v>0.02</v>
      </c>
      <c r="R220" s="437">
        <f t="shared" si="19"/>
        <v>3.5006819229927239E-74</v>
      </c>
      <c r="T220" s="439">
        <v>1.6299999999999899</v>
      </c>
    </row>
    <row r="221" spans="15:20" x14ac:dyDescent="0.3">
      <c r="O221" s="435">
        <f t="shared" si="20"/>
        <v>-177.57084441012012</v>
      </c>
      <c r="P221" s="437">
        <f t="shared" si="21"/>
        <v>-7450.1402624200755</v>
      </c>
      <c r="Q221" s="443">
        <f t="shared" si="18"/>
        <v>0.02</v>
      </c>
      <c r="R221" s="437">
        <f t="shared" si="19"/>
        <v>1.1855522898282349E-74</v>
      </c>
      <c r="T221" s="439">
        <v>1.6399999999999899</v>
      </c>
    </row>
    <row r="222" spans="15:20" x14ac:dyDescent="0.3">
      <c r="O222" s="435">
        <f t="shared" si="20"/>
        <v>-178.65359346140136</v>
      </c>
      <c r="P222" s="437">
        <f t="shared" si="21"/>
        <v>-7495.5679469470278</v>
      </c>
      <c r="Q222" s="443">
        <f t="shared" si="18"/>
        <v>0.02</v>
      </c>
      <c r="R222" s="437">
        <f t="shared" si="19"/>
        <v>4.0150298222905767E-75</v>
      </c>
      <c r="T222" s="439">
        <v>1.6499999999999899</v>
      </c>
    </row>
    <row r="223" spans="15:20" x14ac:dyDescent="0.3">
      <c r="O223" s="435">
        <f t="shared" si="20"/>
        <v>-179.7363425126826</v>
      </c>
      <c r="P223" s="437">
        <f t="shared" si="21"/>
        <v>-7540.9956314739802</v>
      </c>
      <c r="Q223" s="443">
        <f t="shared" si="18"/>
        <v>0.02</v>
      </c>
      <c r="R223" s="437">
        <f t="shared" si="19"/>
        <v>1.3597430170050334E-75</v>
      </c>
      <c r="T223" s="439">
        <v>1.6599999999999899</v>
      </c>
    </row>
    <row r="224" spans="15:20" x14ac:dyDescent="0.3">
      <c r="O224" s="435">
        <f t="shared" si="20"/>
        <v>-180.81909156396381</v>
      </c>
      <c r="P224" s="437">
        <f t="shared" si="21"/>
        <v>-7586.4233160009317</v>
      </c>
      <c r="Q224" s="443">
        <f t="shared" si="18"/>
        <v>0.02</v>
      </c>
      <c r="R224" s="437">
        <f t="shared" si="19"/>
        <v>4.6049497864979851E-76</v>
      </c>
      <c r="T224" s="439">
        <v>1.6699999999999899</v>
      </c>
    </row>
    <row r="225" spans="15:20" x14ac:dyDescent="0.3">
      <c r="O225" s="435">
        <f t="shared" si="20"/>
        <v>-181.90184061524505</v>
      </c>
      <c r="P225" s="437">
        <f t="shared" si="21"/>
        <v>-7631.851000527884</v>
      </c>
      <c r="Q225" s="443">
        <f t="shared" si="18"/>
        <v>0.02</v>
      </c>
      <c r="R225" s="437">
        <f t="shared" si="19"/>
        <v>1.5595272247012197E-76</v>
      </c>
      <c r="T225" s="439">
        <v>1.6799999999999899</v>
      </c>
    </row>
    <row r="226" spans="15:20" x14ac:dyDescent="0.3">
      <c r="O226" s="435">
        <f t="shared" si="20"/>
        <v>-182.98458966652626</v>
      </c>
      <c r="P226" s="437">
        <f t="shared" si="21"/>
        <v>-7677.2786850548355</v>
      </c>
      <c r="Q226" s="443">
        <f t="shared" si="18"/>
        <v>0.02</v>
      </c>
      <c r="R226" s="437">
        <f t="shared" si="19"/>
        <v>5.2815454616150401E-77</v>
      </c>
      <c r="T226" s="439">
        <v>1.68999999999999</v>
      </c>
    </row>
    <row r="227" spans="15:20" x14ac:dyDescent="0.3">
      <c r="O227" s="435">
        <f t="shared" si="20"/>
        <v>-184.0673387178075</v>
      </c>
      <c r="P227" s="437">
        <f t="shared" si="21"/>
        <v>-7722.7063695817878</v>
      </c>
      <c r="Q227" s="443">
        <f t="shared" si="18"/>
        <v>0.02</v>
      </c>
      <c r="R227" s="437">
        <f t="shared" si="19"/>
        <v>1.7886653096710008E-77</v>
      </c>
      <c r="T227" s="439">
        <v>1.69999999999999</v>
      </c>
    </row>
    <row r="228" spans="15:20" x14ac:dyDescent="0.3">
      <c r="O228" s="435">
        <f t="shared" si="20"/>
        <v>-185.15008776908871</v>
      </c>
      <c r="P228" s="437">
        <f t="shared" si="21"/>
        <v>-7768.1340541087402</v>
      </c>
      <c r="Q228" s="443">
        <f t="shared" si="18"/>
        <v>0.02</v>
      </c>
      <c r="R228" s="437">
        <f t="shared" si="19"/>
        <v>6.057551929207911E-78</v>
      </c>
      <c r="T228" s="439">
        <v>1.70999999999999</v>
      </c>
    </row>
    <row r="229" spans="15:20" x14ac:dyDescent="0.3">
      <c r="O229" s="435">
        <f t="shared" si="20"/>
        <v>-186.23283682036995</v>
      </c>
      <c r="P229" s="437">
        <f t="shared" si="21"/>
        <v>-7813.5617386356917</v>
      </c>
      <c r="Q229" s="443">
        <f t="shared" si="18"/>
        <v>0.02</v>
      </c>
      <c r="R229" s="437">
        <f t="shared" si="19"/>
        <v>2.0514701759268072E-78</v>
      </c>
      <c r="T229" s="439">
        <v>1.71999999999999</v>
      </c>
    </row>
    <row r="230" spans="15:20" x14ac:dyDescent="0.3">
      <c r="O230" s="435">
        <f t="shared" si="20"/>
        <v>-187.31558587165119</v>
      </c>
      <c r="P230" s="437">
        <f t="shared" si="21"/>
        <v>-7858.989423162644</v>
      </c>
      <c r="Q230" s="443">
        <f t="shared" si="18"/>
        <v>0.02</v>
      </c>
      <c r="R230" s="437">
        <f t="shared" si="19"/>
        <v>6.9475754098363538E-79</v>
      </c>
      <c r="T230" s="439">
        <v>1.72999999999999</v>
      </c>
    </row>
    <row r="231" spans="15:20" x14ac:dyDescent="0.3">
      <c r="O231" s="435">
        <f t="shared" si="20"/>
        <v>-188.39833492293241</v>
      </c>
      <c r="P231" s="437">
        <f t="shared" si="21"/>
        <v>-7904.4171076895955</v>
      </c>
      <c r="Q231" s="443">
        <f t="shared" si="18"/>
        <v>0.02</v>
      </c>
      <c r="R231" s="437">
        <f t="shared" si="19"/>
        <v>2.3528884134792461E-79</v>
      </c>
      <c r="T231" s="439">
        <v>1.73999999999999</v>
      </c>
    </row>
    <row r="232" spans="15:20" x14ac:dyDescent="0.3">
      <c r="O232" s="435">
        <f t="shared" si="20"/>
        <v>-189.48108397421365</v>
      </c>
      <c r="P232" s="437">
        <f t="shared" si="21"/>
        <v>-7949.8447922165478</v>
      </c>
      <c r="Q232" s="443">
        <f t="shared" si="18"/>
        <v>0.02</v>
      </c>
      <c r="R232" s="437">
        <f t="shared" si="19"/>
        <v>7.9683681856072508E-80</v>
      </c>
      <c r="T232" s="439">
        <v>1.74999999999999</v>
      </c>
    </row>
    <row r="233" spans="15:20" x14ac:dyDescent="0.3">
      <c r="O233" s="435">
        <f t="shared" si="20"/>
        <v>-190.56383302549486</v>
      </c>
      <c r="P233" s="437">
        <f t="shared" si="21"/>
        <v>-7995.2724767435002</v>
      </c>
      <c r="Q233" s="443">
        <f t="shared" si="18"/>
        <v>0.02</v>
      </c>
      <c r="R233" s="437">
        <f t="shared" si="19"/>
        <v>2.6985934045001694E-80</v>
      </c>
      <c r="T233" s="439">
        <v>1.75999999999999</v>
      </c>
    </row>
    <row r="234" spans="15:20" x14ac:dyDescent="0.3">
      <c r="O234" s="435">
        <f t="shared" si="20"/>
        <v>-191.6465820767761</v>
      </c>
      <c r="P234" s="437">
        <f t="shared" si="21"/>
        <v>-8040.7001612704516</v>
      </c>
      <c r="Q234" s="443">
        <f t="shared" si="18"/>
        <v>0.02</v>
      </c>
      <c r="R234" s="437">
        <f t="shared" si="19"/>
        <v>9.1391439165240225E-81</v>
      </c>
      <c r="T234" s="439">
        <v>1.76999999999999</v>
      </c>
    </row>
    <row r="235" spans="15:20" x14ac:dyDescent="0.3">
      <c r="O235" s="435">
        <f t="shared" si="20"/>
        <v>-192.72933112805731</v>
      </c>
      <c r="P235" s="437">
        <f t="shared" si="21"/>
        <v>-8086.127845797404</v>
      </c>
      <c r="Q235" s="443">
        <f t="shared" si="18"/>
        <v>0.02</v>
      </c>
      <c r="R235" s="437">
        <f t="shared" si="19"/>
        <v>3.0950921093802437E-81</v>
      </c>
      <c r="T235" s="439">
        <v>1.77999999999999</v>
      </c>
    </row>
    <row r="236" spans="15:20" x14ac:dyDescent="0.3">
      <c r="O236" s="435">
        <f t="shared" si="20"/>
        <v>-193.81208017933855</v>
      </c>
      <c r="P236" s="437">
        <f t="shared" si="21"/>
        <v>-8131.5555303243564</v>
      </c>
      <c r="Q236" s="443">
        <f t="shared" si="18"/>
        <v>0.02</v>
      </c>
      <c r="R236" s="437">
        <f t="shared" si="19"/>
        <v>1.0481939285612073E-81</v>
      </c>
      <c r="T236" s="439">
        <v>1.78999999999999</v>
      </c>
    </row>
    <row r="237" spans="15:20" x14ac:dyDescent="0.3">
      <c r="O237" s="435">
        <f t="shared" si="20"/>
        <v>-194.89482923061979</v>
      </c>
      <c r="P237" s="437">
        <f t="shared" si="21"/>
        <v>-8176.9832148513078</v>
      </c>
      <c r="Q237" s="443">
        <f t="shared" si="18"/>
        <v>0.02</v>
      </c>
      <c r="R237" s="437">
        <f t="shared" si="19"/>
        <v>3.5498475426393094E-82</v>
      </c>
      <c r="T237" s="439">
        <v>1.7999999999999901</v>
      </c>
    </row>
    <row r="238" spans="15:20" x14ac:dyDescent="0.3">
      <c r="O238" s="435">
        <f t="shared" si="20"/>
        <v>-195.977578281901</v>
      </c>
      <c r="P238" s="437">
        <f t="shared" si="21"/>
        <v>-8222.4108993782593</v>
      </c>
      <c r="Q238" s="443">
        <f t="shared" si="18"/>
        <v>0.02</v>
      </c>
      <c r="R238" s="437">
        <f t="shared" si="19"/>
        <v>1.2022028779807861E-82</v>
      </c>
      <c r="T238" s="439">
        <v>1.8099999999999901</v>
      </c>
    </row>
    <row r="239" spans="15:20" x14ac:dyDescent="0.3">
      <c r="O239" s="435">
        <f t="shared" si="20"/>
        <v>-197.06032733318224</v>
      </c>
      <c r="P239" s="437">
        <f t="shared" si="21"/>
        <v>-8267.8385839052116</v>
      </c>
      <c r="Q239" s="443">
        <f t="shared" si="18"/>
        <v>0.02</v>
      </c>
      <c r="R239" s="437">
        <f t="shared" si="19"/>
        <v>4.071419243967504E-83</v>
      </c>
      <c r="T239" s="439">
        <v>1.8199999999999901</v>
      </c>
    </row>
    <row r="240" spans="15:20" x14ac:dyDescent="0.3">
      <c r="O240" s="435">
        <f t="shared" si="20"/>
        <v>-198.14307638446346</v>
      </c>
      <c r="P240" s="437">
        <f t="shared" si="21"/>
        <v>-8313.266268432164</v>
      </c>
      <c r="Q240" s="443">
        <f t="shared" si="18"/>
        <v>0.02</v>
      </c>
      <c r="R240" s="437">
        <f t="shared" si="19"/>
        <v>1.3788400413739757E-83</v>
      </c>
      <c r="T240" s="439">
        <v>1.8299999999999901</v>
      </c>
    </row>
    <row r="241" spans="15:20" x14ac:dyDescent="0.3">
      <c r="O241" s="435">
        <f t="shared" si="20"/>
        <v>-199.2258254357447</v>
      </c>
      <c r="P241" s="437">
        <f t="shared" si="21"/>
        <v>-8358.6939529591164</v>
      </c>
      <c r="Q241" s="443">
        <f t="shared" si="18"/>
        <v>0.02</v>
      </c>
      <c r="R241" s="437">
        <f t="shared" si="19"/>
        <v>4.669624388382703E-84</v>
      </c>
      <c r="T241" s="439">
        <v>1.8399999999999901</v>
      </c>
    </row>
    <row r="242" spans="15:20" x14ac:dyDescent="0.3">
      <c r="O242" s="435">
        <f t="shared" si="20"/>
        <v>-200.30857448702591</v>
      </c>
      <c r="P242" s="437">
        <f t="shared" si="21"/>
        <v>-8404.1216374860687</v>
      </c>
      <c r="Q242" s="443">
        <f t="shared" si="18"/>
        <v>0.02</v>
      </c>
      <c r="R242" s="437">
        <f t="shared" si="19"/>
        <v>1.5814301350612571E-84</v>
      </c>
      <c r="T242" s="439">
        <v>1.8499999999999901</v>
      </c>
    </row>
    <row r="243" spans="15:20" x14ac:dyDescent="0.3">
      <c r="O243" s="435">
        <f t="shared" si="20"/>
        <v>-201.39132353830715</v>
      </c>
      <c r="P243" s="437">
        <f t="shared" si="21"/>
        <v>-8449.5493220130193</v>
      </c>
      <c r="Q243" s="443">
        <f t="shared" si="18"/>
        <v>0.02</v>
      </c>
      <c r="R243" s="437">
        <f t="shared" si="19"/>
        <v>5.3557225679686289E-85</v>
      </c>
      <c r="T243" s="439">
        <v>1.8599999999999901</v>
      </c>
    </row>
    <row r="244" spans="15:20" x14ac:dyDescent="0.3">
      <c r="O244" s="435">
        <f t="shared" si="20"/>
        <v>-202.47407258958836</v>
      </c>
      <c r="P244" s="437">
        <f t="shared" si="21"/>
        <v>-8494.9770065399716</v>
      </c>
      <c r="Q244" s="443">
        <f t="shared" si="18"/>
        <v>0.02</v>
      </c>
      <c r="R244" s="437">
        <f t="shared" si="19"/>
        <v>1.8137863690031566E-85</v>
      </c>
      <c r="T244" s="439">
        <v>1.8699999999999899</v>
      </c>
    </row>
    <row r="245" spans="15:20" x14ac:dyDescent="0.3">
      <c r="O245" s="435">
        <f t="shared" si="20"/>
        <v>-203.55682164086957</v>
      </c>
      <c r="P245" s="437">
        <f t="shared" si="21"/>
        <v>-8540.4046910669222</v>
      </c>
      <c r="Q245" s="443">
        <f t="shared" si="18"/>
        <v>0.02</v>
      </c>
      <c r="R245" s="437">
        <f t="shared" si="19"/>
        <v>6.1426277232083214E-86</v>
      </c>
      <c r="T245" s="439">
        <v>1.8799999999999899</v>
      </c>
    </row>
    <row r="246" spans="15:20" x14ac:dyDescent="0.3">
      <c r="O246" s="435">
        <f t="shared" si="20"/>
        <v>-204.63957069215081</v>
      </c>
      <c r="P246" s="437">
        <f t="shared" si="21"/>
        <v>-8585.8323755938745</v>
      </c>
      <c r="Q246" s="443">
        <f t="shared" si="18"/>
        <v>0.02</v>
      </c>
      <c r="R246" s="437">
        <f t="shared" si="19"/>
        <v>2.080282220152725E-86</v>
      </c>
      <c r="T246" s="439">
        <v>1.8899999999999899</v>
      </c>
    </row>
    <row r="247" spans="15:20" x14ac:dyDescent="0.3">
      <c r="O247" s="435">
        <f t="shared" si="20"/>
        <v>-205.72231974343202</v>
      </c>
      <c r="P247" s="437">
        <f t="shared" si="21"/>
        <v>-8631.2600601208269</v>
      </c>
      <c r="Q247" s="443">
        <f t="shared" si="18"/>
        <v>0.02</v>
      </c>
      <c r="R247" s="437">
        <f t="shared" si="19"/>
        <v>7.045151212945986E-87</v>
      </c>
      <c r="T247" s="439">
        <v>1.8999999999999899</v>
      </c>
    </row>
    <row r="248" spans="15:20" x14ac:dyDescent="0.3">
      <c r="O248" s="435">
        <f t="shared" si="20"/>
        <v>-206.80506879471326</v>
      </c>
      <c r="P248" s="437">
        <f t="shared" si="21"/>
        <v>-8676.6877446477793</v>
      </c>
      <c r="Q248" s="443">
        <f t="shared" si="18"/>
        <v>0.02</v>
      </c>
      <c r="R248" s="437">
        <f t="shared" si="19"/>
        <v>2.385933751317115E-87</v>
      </c>
      <c r="T248" s="439">
        <v>1.9099999999999899</v>
      </c>
    </row>
    <row r="249" spans="15:20" x14ac:dyDescent="0.3">
      <c r="O249" s="435">
        <f t="shared" si="20"/>
        <v>-207.88781784599448</v>
      </c>
      <c r="P249" s="437">
        <f t="shared" si="21"/>
        <v>-8722.1154291747316</v>
      </c>
      <c r="Q249" s="443">
        <f t="shared" si="18"/>
        <v>0.02</v>
      </c>
      <c r="R249" s="437">
        <f t="shared" si="19"/>
        <v>8.0802805981135002E-88</v>
      </c>
      <c r="T249" s="439">
        <v>1.9199999999999899</v>
      </c>
    </row>
    <row r="250" spans="15:20" x14ac:dyDescent="0.3">
      <c r="O250" s="435">
        <f t="shared" si="20"/>
        <v>-208.97056689727572</v>
      </c>
      <c r="P250" s="437">
        <f t="shared" si="21"/>
        <v>-8767.5431137016822</v>
      </c>
      <c r="Q250" s="443">
        <f t="shared" ref="Q250:Q313" si="22">$S$57*(1+(EXP(O250)/(2*SQRT($Z$53^2-1)*(SQRT($Z$53^2-1)-$Z$53)))+(EXP(P250)/(2*SQRT($Z$53^2-1)*(SQRT($Z$53^2-1)+$Z$53))))</f>
        <v>0.02</v>
      </c>
      <c r="R250" s="437">
        <f t="shared" ref="R250:R313" si="23">$S$57*$Z$52^2/(2*SQRT($Z$53^2-1))*(EXP(O250)-EXP(P250))</f>
        <v>2.7364940249579358E-88</v>
      </c>
      <c r="T250" s="439">
        <v>1.9299999999999899</v>
      </c>
    </row>
    <row r="251" spans="15:20" x14ac:dyDescent="0.3">
      <c r="O251" s="435">
        <f t="shared" si="20"/>
        <v>-210.05331594855696</v>
      </c>
      <c r="P251" s="437">
        <f t="shared" si="21"/>
        <v>-8812.9707982286345</v>
      </c>
      <c r="Q251" s="443">
        <f t="shared" si="22"/>
        <v>0.02</v>
      </c>
      <c r="R251" s="437">
        <f t="shared" si="23"/>
        <v>9.2674993865668458E-89</v>
      </c>
      <c r="T251" s="439">
        <v>1.93999999999999</v>
      </c>
    </row>
    <row r="252" spans="15:20" x14ac:dyDescent="0.3">
      <c r="O252" s="435">
        <f t="shared" si="20"/>
        <v>-211.13606499983817</v>
      </c>
      <c r="P252" s="437">
        <f t="shared" si="21"/>
        <v>-8858.3984827555869</v>
      </c>
      <c r="Q252" s="443">
        <f t="shared" si="22"/>
        <v>0.02</v>
      </c>
      <c r="R252" s="437">
        <f t="shared" si="23"/>
        <v>3.1385613890145261E-89</v>
      </c>
      <c r="T252" s="439">
        <v>1.94999999999999</v>
      </c>
    </row>
    <row r="253" spans="15:20" x14ac:dyDescent="0.3">
      <c r="O253" s="435">
        <f t="shared" si="20"/>
        <v>-212.21881405111941</v>
      </c>
      <c r="P253" s="437">
        <f t="shared" si="21"/>
        <v>-8903.8261672825392</v>
      </c>
      <c r="Q253" s="443">
        <f t="shared" si="22"/>
        <v>0.02</v>
      </c>
      <c r="R253" s="437">
        <f t="shared" si="23"/>
        <v>1.0629153757367191E-89</v>
      </c>
      <c r="T253" s="439">
        <v>1.95999999999999</v>
      </c>
    </row>
    <row r="254" spans="15:20" x14ac:dyDescent="0.3">
      <c r="O254" s="435">
        <f t="shared" si="20"/>
        <v>-213.30156310240062</v>
      </c>
      <c r="P254" s="437">
        <f t="shared" si="21"/>
        <v>-8949.2538518094916</v>
      </c>
      <c r="Q254" s="443">
        <f t="shared" si="22"/>
        <v>0.02</v>
      </c>
      <c r="R254" s="437">
        <f t="shared" si="23"/>
        <v>3.5997036729375683E-90</v>
      </c>
      <c r="T254" s="439">
        <v>1.96999999999999</v>
      </c>
    </row>
    <row r="255" spans="15:20" x14ac:dyDescent="0.3">
      <c r="O255" s="435">
        <f t="shared" si="20"/>
        <v>-214.38431215368186</v>
      </c>
      <c r="P255" s="437">
        <f t="shared" si="21"/>
        <v>-8994.6815363364422</v>
      </c>
      <c r="Q255" s="443">
        <f t="shared" si="22"/>
        <v>0.02</v>
      </c>
      <c r="R255" s="437">
        <f t="shared" si="23"/>
        <v>1.2190873167093482E-90</v>
      </c>
      <c r="T255" s="439">
        <v>1.97999999999999</v>
      </c>
    </row>
    <row r="256" spans="15:20" x14ac:dyDescent="0.3">
      <c r="O256" s="435">
        <f t="shared" si="20"/>
        <v>-215.46706120496307</v>
      </c>
      <c r="P256" s="437">
        <f t="shared" si="21"/>
        <v>-9040.1092208633945</v>
      </c>
      <c r="Q256" s="443">
        <f t="shared" si="22"/>
        <v>0.02</v>
      </c>
      <c r="R256" s="437">
        <f t="shared" si="23"/>
        <v>4.1286006315870874E-91</v>
      </c>
      <c r="T256" s="439">
        <v>1.98999999999999</v>
      </c>
    </row>
    <row r="257" spans="15:20" x14ac:dyDescent="0.3">
      <c r="O257" s="435">
        <f t="shared" si="20"/>
        <v>-216.54981025624431</v>
      </c>
      <c r="P257" s="437">
        <f t="shared" si="21"/>
        <v>-9085.5369053903469</v>
      </c>
      <c r="Q257" s="443">
        <f t="shared" si="22"/>
        <v>0.02</v>
      </c>
      <c r="R257" s="437">
        <f t="shared" si="23"/>
        <v>1.398205275496663E-91</v>
      </c>
      <c r="T257" s="439">
        <v>1.99999999999999</v>
      </c>
    </row>
    <row r="258" spans="15:20" x14ac:dyDescent="0.3">
      <c r="O258" s="435">
        <f t="shared" si="20"/>
        <v>-217.63255930752553</v>
      </c>
      <c r="P258" s="437">
        <f t="shared" si="21"/>
        <v>-9130.9645899172992</v>
      </c>
      <c r="Q258" s="443">
        <f t="shared" si="22"/>
        <v>0.02</v>
      </c>
      <c r="R258" s="437">
        <f t="shared" si="23"/>
        <v>4.7352073181155233E-92</v>
      </c>
      <c r="T258" s="439">
        <v>2.00999999999999</v>
      </c>
    </row>
    <row r="259" spans="15:20" x14ac:dyDescent="0.3">
      <c r="O259" s="435">
        <f t="shared" si="20"/>
        <v>-218.71530835880674</v>
      </c>
      <c r="P259" s="437">
        <f t="shared" si="21"/>
        <v>-9176.3922744442498</v>
      </c>
      <c r="Q259" s="443">
        <f t="shared" si="22"/>
        <v>0.02</v>
      </c>
      <c r="R259" s="437">
        <f t="shared" si="23"/>
        <v>1.6036406626752366E-92</v>
      </c>
      <c r="T259" s="439">
        <v>2.0199999999999898</v>
      </c>
    </row>
    <row r="260" spans="15:20" x14ac:dyDescent="0.3">
      <c r="O260" s="435">
        <f t="shared" si="20"/>
        <v>-219.79805741008801</v>
      </c>
      <c r="P260" s="437">
        <f t="shared" si="21"/>
        <v>-9221.8199589712021</v>
      </c>
      <c r="Q260" s="443">
        <f t="shared" si="22"/>
        <v>0.02</v>
      </c>
      <c r="R260" s="437">
        <f t="shared" si="23"/>
        <v>5.4309414608878712E-93</v>
      </c>
      <c r="T260" s="439">
        <v>2.02999999999999</v>
      </c>
    </row>
    <row r="261" spans="15:20" x14ac:dyDescent="0.3">
      <c r="O261" s="435">
        <f t="shared" si="20"/>
        <v>-220.88080646136919</v>
      </c>
      <c r="P261" s="437">
        <f t="shared" si="21"/>
        <v>-9267.2476434981545</v>
      </c>
      <c r="Q261" s="443">
        <f t="shared" si="22"/>
        <v>0.02</v>
      </c>
      <c r="R261" s="437">
        <f t="shared" si="23"/>
        <v>1.8392602431512827E-93</v>
      </c>
      <c r="T261" s="439">
        <v>2.0399999999999898</v>
      </c>
    </row>
    <row r="262" spans="15:20" x14ac:dyDescent="0.3">
      <c r="O262" s="435">
        <f t="shared" si="20"/>
        <v>-221.96355551265046</v>
      </c>
      <c r="P262" s="437">
        <f t="shared" si="21"/>
        <v>-9312.6753280251069</v>
      </c>
      <c r="Q262" s="443">
        <f t="shared" si="22"/>
        <v>0.02</v>
      </c>
      <c r="R262" s="437">
        <f t="shared" si="23"/>
        <v>6.2288983713029773E-94</v>
      </c>
      <c r="T262" s="439">
        <v>2.0499999999999901</v>
      </c>
    </row>
    <row r="263" spans="15:20" x14ac:dyDescent="0.3">
      <c r="O263" s="435">
        <f t="shared" si="20"/>
        <v>-223.04630456393164</v>
      </c>
      <c r="P263" s="437">
        <f t="shared" si="21"/>
        <v>-9358.1030125520574</v>
      </c>
      <c r="Q263" s="443">
        <f t="shared" si="22"/>
        <v>0.02</v>
      </c>
      <c r="R263" s="437">
        <f t="shared" si="23"/>
        <v>2.1094989175402344E-94</v>
      </c>
      <c r="T263" s="439">
        <v>2.0599999999999898</v>
      </c>
    </row>
    <row r="264" spans="15:20" x14ac:dyDescent="0.3">
      <c r="O264" s="435">
        <f t="shared" si="20"/>
        <v>-224.12905361521291</v>
      </c>
      <c r="P264" s="437">
        <f t="shared" si="21"/>
        <v>-9403.5306970790116</v>
      </c>
      <c r="Q264" s="443">
        <f t="shared" si="22"/>
        <v>0.02</v>
      </c>
      <c r="R264" s="437">
        <f t="shared" si="23"/>
        <v>7.1440974275715812E-95</v>
      </c>
      <c r="T264" s="439">
        <v>2.0699999999999901</v>
      </c>
    </row>
    <row r="265" spans="15:20" x14ac:dyDescent="0.3">
      <c r="O265" s="435">
        <f t="shared" si="20"/>
        <v>-225.21180266649412</v>
      </c>
      <c r="P265" s="437">
        <f t="shared" si="21"/>
        <v>-9448.9583816059621</v>
      </c>
      <c r="Q265" s="443">
        <f t="shared" si="22"/>
        <v>0.02</v>
      </c>
      <c r="R265" s="437">
        <f t="shared" si="23"/>
        <v>2.4194431971622163E-95</v>
      </c>
      <c r="T265" s="439">
        <v>2.0799999999999899</v>
      </c>
    </row>
    <row r="266" spans="15:20" x14ac:dyDescent="0.3">
      <c r="O266" s="435">
        <f t="shared" si="20"/>
        <v>-226.29455171777536</v>
      </c>
      <c r="P266" s="437">
        <f t="shared" si="21"/>
        <v>-9494.3860661329145</v>
      </c>
      <c r="Q266" s="443">
        <f t="shared" si="22"/>
        <v>0.02</v>
      </c>
      <c r="R266" s="437">
        <f t="shared" si="23"/>
        <v>8.193764773843725E-96</v>
      </c>
      <c r="T266" s="439">
        <v>2.0899999999999901</v>
      </c>
    </row>
    <row r="267" spans="15:20" x14ac:dyDescent="0.3">
      <c r="O267" s="435">
        <f t="shared" si="20"/>
        <v>-227.37730076905657</v>
      </c>
      <c r="P267" s="437">
        <f t="shared" si="21"/>
        <v>-9539.8137506598669</v>
      </c>
      <c r="Q267" s="443">
        <f t="shared" si="22"/>
        <v>0.02</v>
      </c>
      <c r="R267" s="437">
        <f t="shared" si="23"/>
        <v>2.7749269438452056E-96</v>
      </c>
      <c r="T267" s="439">
        <v>2.0999999999999899</v>
      </c>
    </row>
    <row r="268" spans="15:20" x14ac:dyDescent="0.3">
      <c r="O268" s="435">
        <f t="shared" si="20"/>
        <v>-228.46004982033782</v>
      </c>
      <c r="P268" s="437">
        <f t="shared" si="21"/>
        <v>-9585.2414351868192</v>
      </c>
      <c r="Q268" s="443">
        <f t="shared" si="22"/>
        <v>0.02</v>
      </c>
      <c r="R268" s="437">
        <f t="shared" si="23"/>
        <v>9.3976575557290192E-97</v>
      </c>
      <c r="T268" s="439">
        <v>2.1099999999999901</v>
      </c>
    </row>
    <row r="269" spans="15:20" x14ac:dyDescent="0.3">
      <c r="O269" s="435">
        <f t="shared" si="20"/>
        <v>-229.54279887161903</v>
      </c>
      <c r="P269" s="437">
        <f t="shared" si="21"/>
        <v>-9630.6691197137698</v>
      </c>
      <c r="Q269" s="443">
        <f t="shared" si="22"/>
        <v>0.02</v>
      </c>
      <c r="R269" s="437">
        <f t="shared" si="23"/>
        <v>3.1826411765772148E-97</v>
      </c>
      <c r="T269" s="439">
        <v>2.1199999999999899</v>
      </c>
    </row>
    <row r="270" spans="15:20" x14ac:dyDescent="0.3">
      <c r="O270" s="435">
        <f t="shared" si="20"/>
        <v>-230.62554792290027</v>
      </c>
      <c r="P270" s="437">
        <f t="shared" si="21"/>
        <v>-9676.0968042407221</v>
      </c>
      <c r="Q270" s="443">
        <f t="shared" si="22"/>
        <v>0.02</v>
      </c>
      <c r="R270" s="437">
        <f t="shared" si="23"/>
        <v>1.0778435795066319E-97</v>
      </c>
      <c r="T270" s="439">
        <v>2.1299999999999901</v>
      </c>
    </row>
    <row r="271" spans="15:20" x14ac:dyDescent="0.3">
      <c r="O271" s="435">
        <f t="shared" si="20"/>
        <v>-231.70829697418148</v>
      </c>
      <c r="P271" s="437">
        <f t="shared" si="21"/>
        <v>-9721.5244887676745</v>
      </c>
      <c r="Q271" s="443">
        <f t="shared" si="22"/>
        <v>0.02</v>
      </c>
      <c r="R271" s="437">
        <f t="shared" si="23"/>
        <v>3.6502600118217154E-98</v>
      </c>
      <c r="T271" s="439">
        <v>2.1399999999999899</v>
      </c>
    </row>
    <row r="272" spans="15:20" x14ac:dyDescent="0.3">
      <c r="O272" s="435">
        <f t="shared" si="20"/>
        <v>-232.79104602546272</v>
      </c>
      <c r="P272" s="437">
        <f t="shared" si="21"/>
        <v>-9766.9521732946268</v>
      </c>
      <c r="Q272" s="443">
        <f t="shared" si="22"/>
        <v>0.02</v>
      </c>
      <c r="R272" s="437">
        <f t="shared" si="23"/>
        <v>1.2362088903478325E-98</v>
      </c>
      <c r="T272" s="439">
        <v>2.1499999999999901</v>
      </c>
    </row>
    <row r="273" spans="15:20" x14ac:dyDescent="0.3">
      <c r="O273" s="435">
        <f t="shared" si="20"/>
        <v>-233.87379507674393</v>
      </c>
      <c r="P273" s="437">
        <f t="shared" si="21"/>
        <v>-9812.3798578215774</v>
      </c>
      <c r="Q273" s="443">
        <f t="shared" si="22"/>
        <v>0.02</v>
      </c>
      <c r="R273" s="437">
        <f t="shared" si="23"/>
        <v>4.1865851079808038E-99</v>
      </c>
      <c r="T273" s="439">
        <v>2.1599999999999899</v>
      </c>
    </row>
    <row r="274" spans="15:20" x14ac:dyDescent="0.3">
      <c r="O274" s="435">
        <f t="shared" si="20"/>
        <v>-234.9565441280252</v>
      </c>
      <c r="P274" s="437">
        <f t="shared" si="21"/>
        <v>-9857.8075423485316</v>
      </c>
      <c r="Q274" s="443">
        <f t="shared" si="22"/>
        <v>0.02</v>
      </c>
      <c r="R274" s="437">
        <f t="shared" si="23"/>
        <v>1.4178424862673433E-99</v>
      </c>
      <c r="T274" s="439">
        <v>2.1699999999999902</v>
      </c>
    </row>
    <row r="275" spans="15:20" x14ac:dyDescent="0.3">
      <c r="O275" s="435">
        <f t="shared" si="20"/>
        <v>-236.03929317930638</v>
      </c>
      <c r="P275" s="437">
        <f t="shared" si="21"/>
        <v>-9903.2352268754821</v>
      </c>
      <c r="Q275" s="443">
        <f t="shared" si="22"/>
        <v>0.02</v>
      </c>
      <c r="R275" s="437">
        <f t="shared" si="23"/>
        <v>4.8017113327823696E-100</v>
      </c>
      <c r="T275" s="439">
        <v>2.1799999999999899</v>
      </c>
    </row>
    <row r="276" spans="15:20" x14ac:dyDescent="0.3">
      <c r="O276" s="435">
        <f t="shared" si="20"/>
        <v>-237.12204223058765</v>
      </c>
      <c r="P276" s="437">
        <f t="shared" si="21"/>
        <v>-9948.6629114024345</v>
      </c>
      <c r="Q276" s="443">
        <f t="shared" si="22"/>
        <v>0.02</v>
      </c>
      <c r="R276" s="437">
        <f t="shared" si="23"/>
        <v>1.6261631278991902E-100</v>
      </c>
      <c r="T276" s="439">
        <v>2.1899999999999902</v>
      </c>
    </row>
    <row r="277" spans="15:20" x14ac:dyDescent="0.3">
      <c r="O277" s="435">
        <f t="shared" si="20"/>
        <v>-238.20479128186884</v>
      </c>
      <c r="P277" s="437">
        <f t="shared" si="21"/>
        <v>-9994.0905959293868</v>
      </c>
      <c r="Q277" s="443">
        <f t="shared" si="22"/>
        <v>0.02</v>
      </c>
      <c r="R277" s="437">
        <f t="shared" si="23"/>
        <v>5.5072167718312052E-101</v>
      </c>
      <c r="T277" s="439">
        <v>2.19999999999999</v>
      </c>
    </row>
    <row r="278" spans="15:20" x14ac:dyDescent="0.3">
      <c r="O278" s="435">
        <f t="shared" si="20"/>
        <v>-239.2875403331501</v>
      </c>
      <c r="P278" s="437">
        <f t="shared" si="21"/>
        <v>-10039.518280456339</v>
      </c>
      <c r="Q278" s="443">
        <f t="shared" si="22"/>
        <v>0.02</v>
      </c>
      <c r="R278" s="437">
        <f t="shared" si="23"/>
        <v>1.8650918872523185E-101</v>
      </c>
      <c r="T278" s="439">
        <v>2.2099999999999902</v>
      </c>
    </row>
    <row r="279" spans="15:20" x14ac:dyDescent="0.3">
      <c r="O279" s="435">
        <f t="shared" si="20"/>
        <v>-240.37028938443129</v>
      </c>
      <c r="P279" s="437">
        <f t="shared" si="21"/>
        <v>-10084.94596498329</v>
      </c>
      <c r="Q279" s="443">
        <f t="shared" si="22"/>
        <v>0.02</v>
      </c>
      <c r="R279" s="437">
        <f t="shared" si="23"/>
        <v>6.3163806547205369E-102</v>
      </c>
      <c r="T279" s="439">
        <v>2.21999999999999</v>
      </c>
    </row>
    <row r="280" spans="15:20" x14ac:dyDescent="0.3">
      <c r="O280" s="435">
        <f t="shared" si="20"/>
        <v>-241.45303843571256</v>
      </c>
      <c r="P280" s="437">
        <f t="shared" si="21"/>
        <v>-10130.373649510242</v>
      </c>
      <c r="Q280" s="443">
        <f t="shared" si="22"/>
        <v>0.02</v>
      </c>
      <c r="R280" s="437">
        <f t="shared" si="23"/>
        <v>2.1391259512742187E-102</v>
      </c>
      <c r="T280" s="439">
        <v>2.2299999999999902</v>
      </c>
    </row>
    <row r="281" spans="15:20" x14ac:dyDescent="0.3">
      <c r="O281" s="435">
        <f t="shared" si="20"/>
        <v>-242.53578748699377</v>
      </c>
      <c r="P281" s="437">
        <f t="shared" si="21"/>
        <v>-10175.801334037194</v>
      </c>
      <c r="Q281" s="443">
        <f t="shared" si="22"/>
        <v>0.02</v>
      </c>
      <c r="R281" s="437">
        <f t="shared" si="23"/>
        <v>7.2444333005727416E-103</v>
      </c>
      <c r="T281" s="439">
        <v>2.23999999999999</v>
      </c>
    </row>
    <row r="282" spans="15:20" x14ac:dyDescent="0.3">
      <c r="O282" s="435">
        <f t="shared" ref="O282:O345" si="24">-$Z$52*($Z$53-SQRT($Z$53^2-1))*T282</f>
        <v>-243.61853653827495</v>
      </c>
      <c r="P282" s="437">
        <f t="shared" ref="P282:P345" si="25">-$Z$52*($Z$53+SQRT($Z$53^2-1))*T282</f>
        <v>-10221.229018564145</v>
      </c>
      <c r="Q282" s="443">
        <f t="shared" si="22"/>
        <v>0.02</v>
      </c>
      <c r="R282" s="437">
        <f t="shared" si="23"/>
        <v>2.453423269218289E-103</v>
      </c>
      <c r="T282" s="439">
        <v>2.2499999999999898</v>
      </c>
    </row>
    <row r="283" spans="15:20" x14ac:dyDescent="0.3">
      <c r="O283" s="435">
        <f t="shared" si="24"/>
        <v>-244.70128558955622</v>
      </c>
      <c r="P283" s="437">
        <f t="shared" si="25"/>
        <v>-10266.656703091097</v>
      </c>
      <c r="Q283" s="443">
        <f t="shared" si="22"/>
        <v>0.02</v>
      </c>
      <c r="R283" s="437">
        <f t="shared" si="23"/>
        <v>8.3088427875584991E-104</v>
      </c>
      <c r="T283" s="439">
        <v>2.25999999999999</v>
      </c>
    </row>
    <row r="284" spans="15:20" x14ac:dyDescent="0.3">
      <c r="O284" s="435">
        <f t="shared" si="24"/>
        <v>-245.7840346408374</v>
      </c>
      <c r="P284" s="437">
        <f t="shared" si="25"/>
        <v>-10312.08438761805</v>
      </c>
      <c r="Q284" s="443">
        <f t="shared" si="22"/>
        <v>0.02</v>
      </c>
      <c r="R284" s="437">
        <f t="shared" si="23"/>
        <v>2.8138996370718103E-104</v>
      </c>
      <c r="T284" s="439">
        <v>2.2699999999999898</v>
      </c>
    </row>
    <row r="285" spans="15:20" x14ac:dyDescent="0.3">
      <c r="O285" s="435">
        <f t="shared" si="24"/>
        <v>-246.86678369211867</v>
      </c>
      <c r="P285" s="437">
        <f t="shared" si="25"/>
        <v>-10357.512072145002</v>
      </c>
      <c r="Q285" s="443">
        <f t="shared" si="22"/>
        <v>0.02</v>
      </c>
      <c r="R285" s="437">
        <f t="shared" si="23"/>
        <v>9.5296437421688824E-105</v>
      </c>
      <c r="T285" s="439">
        <v>2.27999999999999</v>
      </c>
    </row>
    <row r="286" spans="15:20" x14ac:dyDescent="0.3">
      <c r="O286" s="435">
        <f t="shared" si="24"/>
        <v>-247.94953274339989</v>
      </c>
      <c r="P286" s="437">
        <f t="shared" si="25"/>
        <v>-10402.939756671953</v>
      </c>
      <c r="Q286" s="443">
        <f t="shared" si="22"/>
        <v>0.02</v>
      </c>
      <c r="R286" s="437">
        <f t="shared" si="23"/>
        <v>3.2273400463978999E-105</v>
      </c>
      <c r="T286" s="439">
        <v>2.2899999999999898</v>
      </c>
    </row>
    <row r="287" spans="15:20" x14ac:dyDescent="0.3">
      <c r="O287" s="435">
        <f t="shared" si="24"/>
        <v>-249.03228179468113</v>
      </c>
      <c r="P287" s="437">
        <f t="shared" si="25"/>
        <v>-10448.367441198907</v>
      </c>
      <c r="Q287" s="443">
        <f t="shared" si="22"/>
        <v>0.02</v>
      </c>
      <c r="R287" s="437">
        <f t="shared" si="23"/>
        <v>1.0929814436812046E-105</v>
      </c>
      <c r="T287" s="439">
        <v>2.2999999999999901</v>
      </c>
    </row>
    <row r="288" spans="15:20" x14ac:dyDescent="0.3">
      <c r="O288" s="435">
        <f t="shared" si="24"/>
        <v>-250.11503084596234</v>
      </c>
      <c r="P288" s="437">
        <f t="shared" si="25"/>
        <v>-10493.795125725857</v>
      </c>
      <c r="Q288" s="443">
        <f t="shared" si="22"/>
        <v>0.02</v>
      </c>
      <c r="R288" s="437">
        <f t="shared" si="23"/>
        <v>3.7015263934298192E-106</v>
      </c>
      <c r="T288" s="439">
        <v>2.3099999999999898</v>
      </c>
    </row>
    <row r="289" spans="15:20" x14ac:dyDescent="0.3">
      <c r="O289" s="435">
        <f t="shared" si="24"/>
        <v>-251.19777989724358</v>
      </c>
      <c r="P289" s="437">
        <f t="shared" si="25"/>
        <v>-10539.22281025281</v>
      </c>
      <c r="Q289" s="443">
        <f t="shared" si="22"/>
        <v>0.02</v>
      </c>
      <c r="R289" s="437">
        <f t="shared" si="23"/>
        <v>1.2535709293572877E-106</v>
      </c>
      <c r="T289" s="439">
        <v>2.3199999999999901</v>
      </c>
    </row>
    <row r="290" spans="15:20" x14ac:dyDescent="0.3">
      <c r="O290" s="435">
        <f t="shared" si="24"/>
        <v>-252.28052894852479</v>
      </c>
      <c r="P290" s="437">
        <f t="shared" si="25"/>
        <v>-10584.65049477976</v>
      </c>
      <c r="Q290" s="443">
        <f t="shared" si="22"/>
        <v>0.02</v>
      </c>
      <c r="R290" s="437">
        <f t="shared" si="23"/>
        <v>4.2453839521961319E-107</v>
      </c>
      <c r="T290" s="439">
        <v>2.3299999999999899</v>
      </c>
    </row>
    <row r="291" spans="15:20" x14ac:dyDescent="0.3">
      <c r="O291" s="435">
        <f t="shared" si="24"/>
        <v>-253.36327799980603</v>
      </c>
      <c r="P291" s="437">
        <f t="shared" si="25"/>
        <v>-10630.078179306714</v>
      </c>
      <c r="Q291" s="443">
        <f t="shared" si="22"/>
        <v>0.02</v>
      </c>
      <c r="R291" s="437">
        <f t="shared" si="23"/>
        <v>1.4377554934848859E-107</v>
      </c>
      <c r="T291" s="439">
        <v>2.3399999999999901</v>
      </c>
    </row>
    <row r="292" spans="15:20" x14ac:dyDescent="0.3">
      <c r="O292" s="435">
        <f t="shared" si="24"/>
        <v>-254.44602705108724</v>
      </c>
      <c r="P292" s="437">
        <f t="shared" si="25"/>
        <v>-10675.505863833665</v>
      </c>
      <c r="Q292" s="443">
        <f t="shared" si="22"/>
        <v>0.02</v>
      </c>
      <c r="R292" s="437">
        <f t="shared" si="23"/>
        <v>4.8691493686376628E-108</v>
      </c>
      <c r="T292" s="439">
        <v>2.3499999999999899</v>
      </c>
    </row>
    <row r="293" spans="15:20" x14ac:dyDescent="0.3">
      <c r="O293" s="435">
        <f t="shared" si="24"/>
        <v>-255.52877610236848</v>
      </c>
      <c r="P293" s="437">
        <f t="shared" si="25"/>
        <v>-10720.933548360617</v>
      </c>
      <c r="Q293" s="443">
        <f t="shared" si="22"/>
        <v>0.02</v>
      </c>
      <c r="R293" s="437">
        <f t="shared" si="23"/>
        <v>1.649001911767212E-108</v>
      </c>
      <c r="T293" s="439">
        <v>2.3599999999999901</v>
      </c>
    </row>
    <row r="294" spans="15:20" x14ac:dyDescent="0.3">
      <c r="O294" s="435">
        <f t="shared" si="24"/>
        <v>-256.61152515364972</v>
      </c>
      <c r="P294" s="437">
        <f t="shared" si="25"/>
        <v>-10766.36123288757</v>
      </c>
      <c r="Q294" s="443">
        <f t="shared" si="22"/>
        <v>0.02</v>
      </c>
      <c r="R294" s="437">
        <f t="shared" si="23"/>
        <v>5.5845633377493317E-109</v>
      </c>
      <c r="T294" s="439">
        <v>2.3699999999999899</v>
      </c>
    </row>
    <row r="295" spans="15:20" x14ac:dyDescent="0.3">
      <c r="O295" s="435">
        <f t="shared" si="24"/>
        <v>-257.69427420493093</v>
      </c>
      <c r="P295" s="437">
        <f t="shared" si="25"/>
        <v>-10811.788917414522</v>
      </c>
      <c r="Q295" s="443">
        <f t="shared" si="22"/>
        <v>0.02</v>
      </c>
      <c r="R295" s="437">
        <f t="shared" si="23"/>
        <v>1.8912863260365664E-109</v>
      </c>
      <c r="T295" s="439">
        <v>2.3799999999999901</v>
      </c>
    </row>
    <row r="296" spans="15:20" x14ac:dyDescent="0.3">
      <c r="O296" s="435">
        <f t="shared" si="24"/>
        <v>-258.77702325621215</v>
      </c>
      <c r="P296" s="437">
        <f t="shared" si="25"/>
        <v>-10857.216601941473</v>
      </c>
      <c r="Q296" s="443">
        <f t="shared" si="22"/>
        <v>0.02</v>
      </c>
      <c r="R296" s="437">
        <f t="shared" si="23"/>
        <v>6.4050915903739514E-110</v>
      </c>
      <c r="T296" s="439">
        <v>2.3899999999999899</v>
      </c>
    </row>
    <row r="297" spans="15:20" x14ac:dyDescent="0.3">
      <c r="O297" s="435">
        <f t="shared" si="24"/>
        <v>-259.85977230749342</v>
      </c>
      <c r="P297" s="437">
        <f t="shared" si="25"/>
        <v>-10902.644286468427</v>
      </c>
      <c r="Q297" s="443">
        <f t="shared" si="22"/>
        <v>0.02</v>
      </c>
      <c r="R297" s="437">
        <f t="shared" si="23"/>
        <v>2.1691690843580703E-110</v>
      </c>
      <c r="T297" s="439">
        <v>2.3999999999999901</v>
      </c>
    </row>
    <row r="298" spans="15:20" x14ac:dyDescent="0.3">
      <c r="O298" s="435">
        <f t="shared" si="24"/>
        <v>-260.94252135877463</v>
      </c>
      <c r="P298" s="437">
        <f t="shared" si="25"/>
        <v>-10948.071970995377</v>
      </c>
      <c r="Q298" s="443">
        <f t="shared" si="22"/>
        <v>0.02</v>
      </c>
      <c r="R298" s="437">
        <f t="shared" si="23"/>
        <v>7.3461783491223829E-111</v>
      </c>
      <c r="T298" s="439">
        <v>2.4099999999999899</v>
      </c>
    </row>
    <row r="299" spans="15:20" x14ac:dyDescent="0.3">
      <c r="O299" s="435">
        <f t="shared" si="24"/>
        <v>-262.02527041005584</v>
      </c>
      <c r="P299" s="437">
        <f t="shared" si="25"/>
        <v>-10993.49965552233</v>
      </c>
      <c r="Q299" s="443">
        <f t="shared" si="22"/>
        <v>0.02</v>
      </c>
      <c r="R299" s="437">
        <f t="shared" si="23"/>
        <v>2.4878805772342504E-111</v>
      </c>
      <c r="T299" s="439">
        <v>2.4199999999999902</v>
      </c>
    </row>
    <row r="300" spans="15:20" x14ac:dyDescent="0.3">
      <c r="O300" s="435">
        <f t="shared" si="24"/>
        <v>-263.10801946133705</v>
      </c>
      <c r="P300" s="437">
        <f t="shared" si="25"/>
        <v>-11038.92734004928</v>
      </c>
      <c r="Q300" s="443">
        <f t="shared" si="22"/>
        <v>0.02</v>
      </c>
      <c r="R300" s="437">
        <f t="shared" si="23"/>
        <v>8.4255370240485188E-112</v>
      </c>
      <c r="T300" s="439">
        <v>2.4299999999999899</v>
      </c>
    </row>
    <row r="301" spans="15:20" x14ac:dyDescent="0.3">
      <c r="O301" s="435">
        <f t="shared" si="24"/>
        <v>-264.19076851261832</v>
      </c>
      <c r="P301" s="437">
        <f t="shared" si="25"/>
        <v>-11084.355024576234</v>
      </c>
      <c r="Q301" s="443">
        <f t="shared" si="22"/>
        <v>0.02</v>
      </c>
      <c r="R301" s="437">
        <f t="shared" si="23"/>
        <v>2.853419685543218E-112</v>
      </c>
      <c r="T301" s="439">
        <v>2.4399999999999902</v>
      </c>
    </row>
    <row r="302" spans="15:20" x14ac:dyDescent="0.3">
      <c r="O302" s="435">
        <f t="shared" si="24"/>
        <v>-265.27351756389953</v>
      </c>
      <c r="P302" s="437">
        <f t="shared" si="25"/>
        <v>-11129.782709103185</v>
      </c>
      <c r="Q302" s="443">
        <f t="shared" si="22"/>
        <v>0.02</v>
      </c>
      <c r="R302" s="437">
        <f t="shared" si="23"/>
        <v>9.6634836196277716E-113</v>
      </c>
      <c r="T302" s="439">
        <v>2.44999999999999</v>
      </c>
    </row>
    <row r="303" spans="15:20" x14ac:dyDescent="0.3">
      <c r="O303" s="435">
        <f t="shared" si="24"/>
        <v>-266.3562666151808</v>
      </c>
      <c r="P303" s="437">
        <f t="shared" si="25"/>
        <v>-11175.210393630137</v>
      </c>
      <c r="Q303" s="443">
        <f t="shared" si="22"/>
        <v>0.02</v>
      </c>
      <c r="R303" s="437">
        <f t="shared" si="23"/>
        <v>3.2726666932288737E-113</v>
      </c>
      <c r="T303" s="439">
        <v>2.4599999999999902</v>
      </c>
    </row>
    <row r="304" spans="15:20" x14ac:dyDescent="0.3">
      <c r="O304" s="435">
        <f t="shared" si="24"/>
        <v>-267.43901566646196</v>
      </c>
      <c r="P304" s="437">
        <f t="shared" si="25"/>
        <v>-11220.63807815709</v>
      </c>
      <c r="Q304" s="443">
        <f t="shared" si="22"/>
        <v>0.02</v>
      </c>
      <c r="R304" s="437">
        <f t="shared" si="23"/>
        <v>1.1083319128535329E-113</v>
      </c>
      <c r="T304" s="439">
        <v>2.46999999999999</v>
      </c>
    </row>
    <row r="305" spans="15:20" x14ac:dyDescent="0.3">
      <c r="O305" s="435">
        <f t="shared" si="24"/>
        <v>-268.52176471774322</v>
      </c>
      <c r="P305" s="437">
        <f t="shared" si="25"/>
        <v>-11266.065762684042</v>
      </c>
      <c r="Q305" s="443">
        <f t="shared" si="22"/>
        <v>0.02</v>
      </c>
      <c r="R305" s="437">
        <f t="shared" si="23"/>
        <v>3.7535127900161121E-114</v>
      </c>
      <c r="T305" s="439">
        <v>2.4799999999999902</v>
      </c>
    </row>
    <row r="306" spans="15:20" x14ac:dyDescent="0.3">
      <c r="O306" s="435">
        <f t="shared" si="24"/>
        <v>-269.60451376902444</v>
      </c>
      <c r="P306" s="437">
        <f t="shared" si="25"/>
        <v>-11311.493447210993</v>
      </c>
      <c r="Q306" s="443">
        <f t="shared" si="22"/>
        <v>0.02</v>
      </c>
      <c r="R306" s="437">
        <f t="shared" si="23"/>
        <v>1.2711768109736994E-114</v>
      </c>
      <c r="T306" s="439">
        <v>2.48999999999999</v>
      </c>
    </row>
    <row r="307" spans="15:20" x14ac:dyDescent="0.3">
      <c r="O307" s="435">
        <f t="shared" si="24"/>
        <v>-270.68726282030565</v>
      </c>
      <c r="P307" s="437">
        <f t="shared" si="25"/>
        <v>-11356.921131737943</v>
      </c>
      <c r="Q307" s="443">
        <f t="shared" si="22"/>
        <v>0.02</v>
      </c>
      <c r="R307" s="437">
        <f t="shared" si="23"/>
        <v>4.3050086016899597E-115</v>
      </c>
      <c r="T307" s="439">
        <v>2.4999999999999898</v>
      </c>
    </row>
    <row r="308" spans="15:20" x14ac:dyDescent="0.3">
      <c r="O308" s="435">
        <f t="shared" si="24"/>
        <v>-271.77001187158686</v>
      </c>
      <c r="P308" s="437">
        <f t="shared" si="25"/>
        <v>-11402.348816264897</v>
      </c>
      <c r="Q308" s="443">
        <f t="shared" si="22"/>
        <v>0.02</v>
      </c>
      <c r="R308" s="437">
        <f t="shared" si="23"/>
        <v>1.4579481705954431E-115</v>
      </c>
      <c r="T308" s="439">
        <v>2.50999999999999</v>
      </c>
    </row>
    <row r="309" spans="15:20" x14ac:dyDescent="0.3">
      <c r="O309" s="435">
        <f t="shared" si="24"/>
        <v>-272.85276092286807</v>
      </c>
      <c r="P309" s="437">
        <f t="shared" si="25"/>
        <v>-11447.776500791848</v>
      </c>
      <c r="Q309" s="443">
        <f t="shared" si="22"/>
        <v>0.02</v>
      </c>
      <c r="R309" s="437">
        <f t="shared" si="23"/>
        <v>4.937534543620135E-116</v>
      </c>
      <c r="T309" s="439">
        <v>2.5199999999999898</v>
      </c>
    </row>
    <row r="310" spans="15:20" x14ac:dyDescent="0.3">
      <c r="O310" s="435">
        <f t="shared" si="24"/>
        <v>-273.93550997414934</v>
      </c>
      <c r="P310" s="437">
        <f t="shared" si="25"/>
        <v>-11493.2041853188</v>
      </c>
      <c r="Q310" s="443">
        <f t="shared" si="22"/>
        <v>0.02</v>
      </c>
      <c r="R310" s="437">
        <f t="shared" si="23"/>
        <v>1.6721614568427312E-116</v>
      </c>
      <c r="T310" s="439">
        <v>2.52999999999999</v>
      </c>
    </row>
    <row r="311" spans="15:20" x14ac:dyDescent="0.3">
      <c r="O311" s="435">
        <f t="shared" si="24"/>
        <v>-275.01825902543055</v>
      </c>
      <c r="P311" s="437">
        <f t="shared" si="25"/>
        <v>-11538.631869845753</v>
      </c>
      <c r="Q311" s="443">
        <f t="shared" si="22"/>
        <v>0.02</v>
      </c>
      <c r="R311" s="437">
        <f t="shared" si="23"/>
        <v>5.6629962039728495E-117</v>
      </c>
      <c r="T311" s="439">
        <v>2.5399999999999898</v>
      </c>
    </row>
    <row r="312" spans="15:20" x14ac:dyDescent="0.3">
      <c r="O312" s="435">
        <f t="shared" si="24"/>
        <v>-276.10100807671182</v>
      </c>
      <c r="P312" s="437">
        <f t="shared" si="25"/>
        <v>-11584.059554372705</v>
      </c>
      <c r="Q312" s="443">
        <f t="shared" si="22"/>
        <v>0.02</v>
      </c>
      <c r="R312" s="437">
        <f t="shared" si="23"/>
        <v>1.9178486548039873E-117</v>
      </c>
      <c r="T312" s="439">
        <v>2.5499999999999901</v>
      </c>
    </row>
    <row r="313" spans="15:20" x14ac:dyDescent="0.3">
      <c r="O313" s="435">
        <f t="shared" si="24"/>
        <v>-277.18375712799298</v>
      </c>
      <c r="P313" s="437">
        <f t="shared" si="25"/>
        <v>-11629.487238899655</v>
      </c>
      <c r="Q313" s="443">
        <f t="shared" si="22"/>
        <v>0.02</v>
      </c>
      <c r="R313" s="437">
        <f t="shared" si="23"/>
        <v>6.4950484341725274E-118</v>
      </c>
      <c r="T313" s="439">
        <v>2.5599999999999898</v>
      </c>
    </row>
    <row r="314" spans="15:20" x14ac:dyDescent="0.3">
      <c r="O314" s="435">
        <f t="shared" si="24"/>
        <v>-278.26650617927424</v>
      </c>
      <c r="P314" s="437">
        <f t="shared" si="25"/>
        <v>-11674.91492342661</v>
      </c>
      <c r="Q314" s="443">
        <f t="shared" ref="Q314:Q377" si="26">$S$57*(1+(EXP(O314)/(2*SQRT($Z$53^2-1)*(SQRT($Z$53^2-1)-$Z$53)))+(EXP(P314)/(2*SQRT($Z$53^2-1)*(SQRT($Z$53^2-1)+$Z$53))))</f>
        <v>0.02</v>
      </c>
      <c r="R314" s="437">
        <f t="shared" ref="R314:R377" si="27">$S$57*$Z$52^2/(2*SQRT($Z$53^2-1))*(EXP(O314)-EXP(P314))</f>
        <v>2.1996341607338024E-118</v>
      </c>
      <c r="T314" s="439">
        <v>2.5699999999999901</v>
      </c>
    </row>
    <row r="315" spans="15:20" x14ac:dyDescent="0.3">
      <c r="O315" s="435">
        <f t="shared" si="24"/>
        <v>-279.34925523055546</v>
      </c>
      <c r="P315" s="437">
        <f t="shared" si="25"/>
        <v>-11720.34260795356</v>
      </c>
      <c r="Q315" s="443">
        <f t="shared" si="26"/>
        <v>0.02</v>
      </c>
      <c r="R315" s="437">
        <f t="shared" si="27"/>
        <v>7.4493523645044043E-119</v>
      </c>
      <c r="T315" s="439">
        <v>2.5799999999999899</v>
      </c>
    </row>
    <row r="316" spans="15:20" x14ac:dyDescent="0.3">
      <c r="O316" s="435">
        <f t="shared" si="24"/>
        <v>-280.43200428183673</v>
      </c>
      <c r="P316" s="437">
        <f t="shared" si="25"/>
        <v>-11765.770292480513</v>
      </c>
      <c r="Q316" s="443">
        <f t="shared" si="26"/>
        <v>0.02</v>
      </c>
      <c r="R316" s="437">
        <f t="shared" si="27"/>
        <v>2.5228218237905377E-119</v>
      </c>
      <c r="T316" s="439">
        <v>2.5899999999999901</v>
      </c>
    </row>
    <row r="317" spans="15:20" x14ac:dyDescent="0.3">
      <c r="O317" s="435">
        <f t="shared" si="24"/>
        <v>-281.51475333311794</v>
      </c>
      <c r="P317" s="437">
        <f t="shared" si="25"/>
        <v>-11811.197977007465</v>
      </c>
      <c r="Q317" s="443">
        <f t="shared" si="26"/>
        <v>0.02</v>
      </c>
      <c r="R317" s="437">
        <f t="shared" si="27"/>
        <v>8.5438701824888187E-120</v>
      </c>
      <c r="T317" s="439">
        <v>2.5999999999999899</v>
      </c>
    </row>
    <row r="318" spans="15:20" x14ac:dyDescent="0.3">
      <c r="O318" s="435">
        <f t="shared" si="24"/>
        <v>-282.59750238439915</v>
      </c>
      <c r="P318" s="437">
        <f t="shared" si="25"/>
        <v>-11856.625661534417</v>
      </c>
      <c r="Q318" s="443">
        <f t="shared" si="26"/>
        <v>0.02</v>
      </c>
      <c r="R318" s="437">
        <f t="shared" si="27"/>
        <v>2.8934947766363667E-120</v>
      </c>
      <c r="T318" s="439">
        <v>2.6099999999999901</v>
      </c>
    </row>
    <row r="319" spans="15:20" x14ac:dyDescent="0.3">
      <c r="O319" s="435">
        <f t="shared" si="24"/>
        <v>-283.68025143568036</v>
      </c>
      <c r="P319" s="437">
        <f t="shared" si="25"/>
        <v>-11902.053346061368</v>
      </c>
      <c r="Q319" s="443">
        <f t="shared" si="26"/>
        <v>0.02</v>
      </c>
      <c r="R319" s="437">
        <f t="shared" si="27"/>
        <v>9.7992032224243057E-121</v>
      </c>
      <c r="T319" s="439">
        <v>2.6199999999999899</v>
      </c>
    </row>
    <row r="320" spans="15:20" x14ac:dyDescent="0.3">
      <c r="O320" s="435">
        <f t="shared" si="24"/>
        <v>-284.76300048696163</v>
      </c>
      <c r="P320" s="437">
        <f t="shared" si="25"/>
        <v>-11947.48103058832</v>
      </c>
      <c r="Q320" s="443">
        <f t="shared" si="26"/>
        <v>0.02</v>
      </c>
      <c r="R320" s="437">
        <f t="shared" si="27"/>
        <v>3.3186299339372574E-121</v>
      </c>
      <c r="T320" s="439">
        <v>2.6299999999999901</v>
      </c>
    </row>
    <row r="321" spans="15:20" x14ac:dyDescent="0.3">
      <c r="O321" s="435">
        <f t="shared" si="24"/>
        <v>-285.84574953824284</v>
      </c>
      <c r="P321" s="437">
        <f t="shared" si="25"/>
        <v>-11992.908715115273</v>
      </c>
      <c r="Q321" s="443">
        <f t="shared" si="26"/>
        <v>0.02</v>
      </c>
      <c r="R321" s="437">
        <f t="shared" si="27"/>
        <v>1.1238979729721695E-121</v>
      </c>
      <c r="T321" s="439">
        <v>2.6399999999999899</v>
      </c>
    </row>
    <row r="322" spans="15:20" x14ac:dyDescent="0.3">
      <c r="O322" s="435">
        <f t="shared" si="24"/>
        <v>-286.92849858952405</v>
      </c>
      <c r="P322" s="437">
        <f t="shared" si="25"/>
        <v>-12038.336399642225</v>
      </c>
      <c r="Q322" s="443">
        <f t="shared" si="26"/>
        <v>0.02</v>
      </c>
      <c r="R322" s="437">
        <f t="shared" si="27"/>
        <v>3.8062293138914141E-122</v>
      </c>
      <c r="T322" s="439">
        <v>2.6499999999999901</v>
      </c>
    </row>
    <row r="323" spans="15:20" x14ac:dyDescent="0.3">
      <c r="O323" s="435">
        <f t="shared" si="24"/>
        <v>-288.01124764080527</v>
      </c>
      <c r="P323" s="437">
        <f t="shared" si="25"/>
        <v>-12083.764084169175</v>
      </c>
      <c r="Q323" s="443">
        <f t="shared" si="26"/>
        <v>0.02</v>
      </c>
      <c r="R323" s="437">
        <f t="shared" si="27"/>
        <v>1.2890299598649643E-122</v>
      </c>
      <c r="T323" s="439">
        <v>2.6599999999999899</v>
      </c>
    </row>
    <row r="324" spans="15:20" x14ac:dyDescent="0.3">
      <c r="O324" s="435">
        <f t="shared" si="24"/>
        <v>-289.09399669208653</v>
      </c>
      <c r="P324" s="437">
        <f t="shared" si="25"/>
        <v>-12129.19176869613</v>
      </c>
      <c r="Q324" s="443">
        <f t="shared" si="26"/>
        <v>0.02</v>
      </c>
      <c r="R324" s="437">
        <f t="shared" si="27"/>
        <v>4.3654706545533694E-123</v>
      </c>
      <c r="T324" s="439">
        <v>2.6699999999999902</v>
      </c>
    </row>
    <row r="325" spans="15:20" x14ac:dyDescent="0.3">
      <c r="O325" s="435">
        <f t="shared" si="24"/>
        <v>-290.17674574336775</v>
      </c>
      <c r="P325" s="437">
        <f t="shared" si="25"/>
        <v>-12174.61945322308</v>
      </c>
      <c r="Q325" s="443">
        <f t="shared" si="26"/>
        <v>0.02</v>
      </c>
      <c r="R325" s="437">
        <f t="shared" si="27"/>
        <v>1.4784244454461015E-123</v>
      </c>
      <c r="T325" s="439">
        <v>2.6799999999999899</v>
      </c>
    </row>
    <row r="326" spans="15:20" x14ac:dyDescent="0.3">
      <c r="O326" s="435">
        <f t="shared" si="24"/>
        <v>-291.25949479464902</v>
      </c>
      <c r="P326" s="437">
        <f t="shared" si="25"/>
        <v>-12220.047137750033</v>
      </c>
      <c r="Q326" s="443">
        <f t="shared" si="26"/>
        <v>0.02</v>
      </c>
      <c r="R326" s="437">
        <f t="shared" si="27"/>
        <v>5.0068801599036553E-124</v>
      </c>
      <c r="T326" s="439">
        <v>2.6899999999999902</v>
      </c>
    </row>
    <row r="327" spans="15:20" x14ac:dyDescent="0.3">
      <c r="O327" s="435">
        <f t="shared" si="24"/>
        <v>-292.34224384593017</v>
      </c>
      <c r="P327" s="437">
        <f t="shared" si="25"/>
        <v>-12265.474822276985</v>
      </c>
      <c r="Q327" s="443">
        <f t="shared" si="26"/>
        <v>0.02</v>
      </c>
      <c r="R327" s="437">
        <f t="shared" si="27"/>
        <v>1.6956462680834116E-124</v>
      </c>
      <c r="T327" s="439">
        <v>2.69999999999999</v>
      </c>
    </row>
    <row r="328" spans="15:20" x14ac:dyDescent="0.3">
      <c r="O328" s="435">
        <f t="shared" si="24"/>
        <v>-293.42499289721144</v>
      </c>
      <c r="P328" s="437">
        <f t="shared" si="25"/>
        <v>-12310.902506803937</v>
      </c>
      <c r="Q328" s="443">
        <f t="shared" si="26"/>
        <v>0.02</v>
      </c>
      <c r="R328" s="437">
        <f t="shared" si="27"/>
        <v>5.7425306271364826E-125</v>
      </c>
      <c r="T328" s="439">
        <v>2.7099999999999902</v>
      </c>
    </row>
    <row r="329" spans="15:20" x14ac:dyDescent="0.3">
      <c r="O329" s="435">
        <f t="shared" si="24"/>
        <v>-294.50774194849265</v>
      </c>
      <c r="P329" s="437">
        <f t="shared" si="25"/>
        <v>-12356.330191330888</v>
      </c>
      <c r="Q329" s="443">
        <f t="shared" si="26"/>
        <v>0.02</v>
      </c>
      <c r="R329" s="437">
        <f t="shared" si="27"/>
        <v>1.9447840404163953E-125</v>
      </c>
      <c r="T329" s="439">
        <v>2.71999999999999</v>
      </c>
    </row>
    <row r="330" spans="15:20" x14ac:dyDescent="0.3">
      <c r="O330" s="435">
        <f t="shared" si="24"/>
        <v>-295.59049099977392</v>
      </c>
      <c r="P330" s="437">
        <f t="shared" si="25"/>
        <v>-12401.75787585784</v>
      </c>
      <c r="Q330" s="443">
        <f t="shared" si="26"/>
        <v>0.02</v>
      </c>
      <c r="R330" s="437">
        <f t="shared" si="27"/>
        <v>6.5862686843763414E-126</v>
      </c>
      <c r="T330" s="439">
        <v>2.7299999999999902</v>
      </c>
    </row>
    <row r="331" spans="15:20" x14ac:dyDescent="0.3">
      <c r="O331" s="435">
        <f t="shared" si="24"/>
        <v>-296.67324005105513</v>
      </c>
      <c r="P331" s="437">
        <f t="shared" si="25"/>
        <v>-12447.185560384793</v>
      </c>
      <c r="Q331" s="443">
        <f t="shared" si="26"/>
        <v>0.02</v>
      </c>
      <c r="R331" s="437">
        <f t="shared" si="27"/>
        <v>2.2305271064190306E-126</v>
      </c>
      <c r="T331" s="439">
        <v>2.73999999999999</v>
      </c>
    </row>
    <row r="332" spans="15:20" x14ac:dyDescent="0.3">
      <c r="O332" s="435">
        <f t="shared" si="24"/>
        <v>-297.75598910233629</v>
      </c>
      <c r="P332" s="437">
        <f t="shared" si="25"/>
        <v>-12492.613244911743</v>
      </c>
      <c r="Q332" s="443">
        <f t="shared" si="26"/>
        <v>0.02</v>
      </c>
      <c r="R332" s="437">
        <f t="shared" si="27"/>
        <v>7.5539754159626218E-127</v>
      </c>
      <c r="T332" s="439">
        <v>2.7499999999999898</v>
      </c>
    </row>
    <row r="333" spans="15:20" x14ac:dyDescent="0.3">
      <c r="O333" s="435">
        <f t="shared" si="24"/>
        <v>-298.83873815361756</v>
      </c>
      <c r="P333" s="437">
        <f t="shared" si="25"/>
        <v>-12538.040929438695</v>
      </c>
      <c r="Q333" s="443">
        <f t="shared" si="26"/>
        <v>0.02</v>
      </c>
      <c r="R333" s="437">
        <f t="shared" si="27"/>
        <v>2.5582538056025446E-127</v>
      </c>
      <c r="T333" s="439">
        <v>2.75999999999999</v>
      </c>
    </row>
    <row r="334" spans="15:20" x14ac:dyDescent="0.3">
      <c r="O334" s="435">
        <f t="shared" si="24"/>
        <v>-299.92148720489877</v>
      </c>
      <c r="P334" s="437">
        <f t="shared" si="25"/>
        <v>-12583.468613965648</v>
      </c>
      <c r="Q334" s="443">
        <f t="shared" si="26"/>
        <v>0.02</v>
      </c>
      <c r="R334" s="437">
        <f t="shared" si="27"/>
        <v>8.6638652808565849E-128</v>
      </c>
      <c r="T334" s="439">
        <v>2.7699999999999898</v>
      </c>
    </row>
    <row r="335" spans="15:20" x14ac:dyDescent="0.3">
      <c r="O335" s="435">
        <f t="shared" si="24"/>
        <v>-301.00423625618004</v>
      </c>
      <c r="P335" s="437">
        <f t="shared" si="25"/>
        <v>-12628.8962984926</v>
      </c>
      <c r="Q335" s="443">
        <f t="shared" si="26"/>
        <v>0.02</v>
      </c>
      <c r="R335" s="437">
        <f t="shared" si="27"/>
        <v>2.9341327056933054E-128</v>
      </c>
      <c r="T335" s="439">
        <v>2.77999999999999</v>
      </c>
    </row>
    <row r="336" spans="15:20" x14ac:dyDescent="0.3">
      <c r="O336" s="435">
        <f t="shared" si="24"/>
        <v>-302.08698530746125</v>
      </c>
      <c r="P336" s="437">
        <f t="shared" si="25"/>
        <v>-12674.323983019551</v>
      </c>
      <c r="Q336" s="443">
        <f t="shared" si="26"/>
        <v>0.02</v>
      </c>
      <c r="R336" s="437">
        <f t="shared" si="27"/>
        <v>9.9368289505171425E-129</v>
      </c>
      <c r="T336" s="439">
        <v>2.7899999999999898</v>
      </c>
    </row>
    <row r="337" spans="15:20" x14ac:dyDescent="0.3">
      <c r="O337" s="435">
        <f t="shared" si="24"/>
        <v>-303.16973435874246</v>
      </c>
      <c r="P337" s="437">
        <f t="shared" si="25"/>
        <v>-12719.751667546505</v>
      </c>
      <c r="Q337" s="443">
        <f t="shared" si="26"/>
        <v>0.02</v>
      </c>
      <c r="R337" s="437">
        <f t="shared" si="27"/>
        <v>3.3652387092186495E-129</v>
      </c>
      <c r="T337" s="439">
        <v>2.7999999999999901</v>
      </c>
    </row>
    <row r="338" spans="15:20" x14ac:dyDescent="0.3">
      <c r="O338" s="435">
        <f t="shared" si="24"/>
        <v>-304.25248341002367</v>
      </c>
      <c r="P338" s="437">
        <f t="shared" si="25"/>
        <v>-12765.179352073455</v>
      </c>
      <c r="Q338" s="443">
        <f t="shared" si="26"/>
        <v>0.02</v>
      </c>
      <c r="R338" s="437">
        <f t="shared" si="27"/>
        <v>1.139682651922294E-129</v>
      </c>
      <c r="T338" s="439">
        <v>2.8099999999999898</v>
      </c>
    </row>
    <row r="339" spans="15:20" x14ac:dyDescent="0.3">
      <c r="O339" s="435">
        <f t="shared" si="24"/>
        <v>-305.33523246130494</v>
      </c>
      <c r="P339" s="437">
        <f t="shared" si="25"/>
        <v>-12810.607036600408</v>
      </c>
      <c r="Q339" s="443">
        <f t="shared" si="26"/>
        <v>0.02</v>
      </c>
      <c r="R339" s="437">
        <f t="shared" si="27"/>
        <v>3.8596862193889829E-130</v>
      </c>
      <c r="T339" s="439">
        <v>2.8199999999999901</v>
      </c>
    </row>
    <row r="340" spans="15:20" x14ac:dyDescent="0.3">
      <c r="O340" s="435">
        <f t="shared" si="24"/>
        <v>-306.41798151258615</v>
      </c>
      <c r="P340" s="437">
        <f t="shared" si="25"/>
        <v>-12856.034721127358</v>
      </c>
      <c r="Q340" s="443">
        <f t="shared" si="26"/>
        <v>0.02</v>
      </c>
      <c r="R340" s="437">
        <f t="shared" si="27"/>
        <v>1.3071338487968655E-130</v>
      </c>
      <c r="T340" s="439">
        <v>2.8299999999999899</v>
      </c>
    </row>
    <row r="341" spans="15:20" x14ac:dyDescent="0.3">
      <c r="O341" s="435">
        <f t="shared" si="24"/>
        <v>-307.50073056386736</v>
      </c>
      <c r="P341" s="437">
        <f t="shared" si="25"/>
        <v>-12901.462405654313</v>
      </c>
      <c r="Q341" s="443">
        <f t="shared" si="26"/>
        <v>0.02</v>
      </c>
      <c r="R341" s="437">
        <f t="shared" si="27"/>
        <v>4.4267818717682979E-131</v>
      </c>
      <c r="T341" s="439">
        <v>2.8399999999999901</v>
      </c>
    </row>
    <row r="342" spans="15:20" x14ac:dyDescent="0.3">
      <c r="O342" s="435">
        <f t="shared" si="24"/>
        <v>-308.58347961514858</v>
      </c>
      <c r="P342" s="437">
        <f t="shared" si="25"/>
        <v>-12946.890090181263</v>
      </c>
      <c r="Q342" s="443">
        <f t="shared" si="26"/>
        <v>0.02</v>
      </c>
      <c r="R342" s="437">
        <f t="shared" si="27"/>
        <v>1.4991883010491764E-131</v>
      </c>
      <c r="T342" s="439">
        <v>2.8499999999999899</v>
      </c>
    </row>
    <row r="343" spans="15:20" x14ac:dyDescent="0.3">
      <c r="O343" s="435">
        <f t="shared" si="24"/>
        <v>-309.66622866642984</v>
      </c>
      <c r="P343" s="437">
        <f t="shared" si="25"/>
        <v>-12992.317774708215</v>
      </c>
      <c r="Q343" s="443">
        <f t="shared" si="26"/>
        <v>0.02</v>
      </c>
      <c r="R343" s="437">
        <f t="shared" si="27"/>
        <v>5.07719970648743E-132</v>
      </c>
      <c r="T343" s="439">
        <v>2.8599999999999901</v>
      </c>
    </row>
    <row r="344" spans="15:20" x14ac:dyDescent="0.3">
      <c r="O344" s="435">
        <f t="shared" si="24"/>
        <v>-310.74897771771106</v>
      </c>
      <c r="P344" s="437">
        <f t="shared" si="25"/>
        <v>-13037.745459235168</v>
      </c>
      <c r="Q344" s="443">
        <f t="shared" si="26"/>
        <v>0.02</v>
      </c>
      <c r="R344" s="437">
        <f t="shared" si="27"/>
        <v>1.719460913716932E-132</v>
      </c>
      <c r="T344" s="439">
        <v>2.8699999999999899</v>
      </c>
    </row>
    <row r="345" spans="15:20" x14ac:dyDescent="0.3">
      <c r="O345" s="435">
        <f t="shared" si="24"/>
        <v>-311.83172676899233</v>
      </c>
      <c r="P345" s="437">
        <f t="shared" si="25"/>
        <v>-13083.17314376212</v>
      </c>
      <c r="Q345" s="443">
        <f t="shared" si="26"/>
        <v>0.02</v>
      </c>
      <c r="R345" s="437">
        <f t="shared" si="27"/>
        <v>5.8231820781490023E-133</v>
      </c>
      <c r="T345" s="439">
        <v>2.8799999999999901</v>
      </c>
    </row>
    <row r="346" spans="15:20" x14ac:dyDescent="0.3">
      <c r="O346" s="435">
        <f t="shared" ref="O346:O409" si="28">-$Z$52*($Z$53-SQRT($Z$53^2-1))*T346</f>
        <v>-312.91447582027348</v>
      </c>
      <c r="P346" s="437">
        <f t="shared" ref="P346:P409" si="29">-$Z$52*($Z$53+SQRT($Z$53^2-1))*T346</f>
        <v>-13128.600828289071</v>
      </c>
      <c r="Q346" s="443">
        <f t="shared" si="26"/>
        <v>0.02</v>
      </c>
      <c r="R346" s="437">
        <f t="shared" si="27"/>
        <v>1.9720977223016987E-133</v>
      </c>
      <c r="T346" s="439">
        <v>2.8899999999999899</v>
      </c>
    </row>
    <row r="347" spans="15:20" x14ac:dyDescent="0.3">
      <c r="O347" s="435">
        <f t="shared" si="28"/>
        <v>-313.99722487155475</v>
      </c>
      <c r="P347" s="437">
        <f t="shared" si="29"/>
        <v>-13174.028512816025</v>
      </c>
      <c r="Q347" s="443">
        <f t="shared" si="26"/>
        <v>0.02</v>
      </c>
      <c r="R347" s="437">
        <f t="shared" si="27"/>
        <v>6.6787700850036688E-134</v>
      </c>
      <c r="T347" s="439">
        <v>2.8999999999999901</v>
      </c>
    </row>
    <row r="348" spans="15:20" x14ac:dyDescent="0.3">
      <c r="O348" s="435">
        <f t="shared" si="28"/>
        <v>-315.07997392283596</v>
      </c>
      <c r="P348" s="437">
        <f t="shared" si="29"/>
        <v>-13219.456197342975</v>
      </c>
      <c r="Q348" s="443">
        <f t="shared" si="26"/>
        <v>0.02</v>
      </c>
      <c r="R348" s="437">
        <f t="shared" si="27"/>
        <v>2.2618539306602612E-134</v>
      </c>
      <c r="T348" s="439">
        <v>2.9099999999999899</v>
      </c>
    </row>
    <row r="349" spans="15:20" x14ac:dyDescent="0.3">
      <c r="O349" s="435">
        <f t="shared" si="28"/>
        <v>-316.16272297411723</v>
      </c>
      <c r="P349" s="437">
        <f t="shared" si="29"/>
        <v>-13264.883881869928</v>
      </c>
      <c r="Q349" s="443">
        <f t="shared" si="26"/>
        <v>0.02</v>
      </c>
      <c r="R349" s="437">
        <f t="shared" si="27"/>
        <v>7.6600678546043596E-135</v>
      </c>
      <c r="T349" s="439">
        <v>2.9199999999999902</v>
      </c>
    </row>
    <row r="350" spans="15:20" x14ac:dyDescent="0.3">
      <c r="O350" s="435">
        <f t="shared" si="28"/>
        <v>-317.24547202539839</v>
      </c>
      <c r="P350" s="437">
        <f t="shared" si="29"/>
        <v>-13310.311566396878</v>
      </c>
      <c r="Q350" s="443">
        <f t="shared" si="26"/>
        <v>0.02</v>
      </c>
      <c r="R350" s="437">
        <f t="shared" si="27"/>
        <v>2.5941834148424129E-135</v>
      </c>
      <c r="T350" s="439">
        <v>2.9299999999999899</v>
      </c>
    </row>
    <row r="351" spans="15:20" x14ac:dyDescent="0.3">
      <c r="O351" s="435">
        <f t="shared" si="28"/>
        <v>-318.32822107667965</v>
      </c>
      <c r="P351" s="437">
        <f t="shared" si="29"/>
        <v>-13355.739250923833</v>
      </c>
      <c r="Q351" s="443">
        <f t="shared" si="26"/>
        <v>0.02</v>
      </c>
      <c r="R351" s="437">
        <f t="shared" si="27"/>
        <v>8.7855456604049499E-136</v>
      </c>
      <c r="T351" s="439">
        <v>2.9399999999999902</v>
      </c>
    </row>
    <row r="352" spans="15:20" x14ac:dyDescent="0.3">
      <c r="O352" s="435">
        <f t="shared" si="28"/>
        <v>-319.41097012796087</v>
      </c>
      <c r="P352" s="437">
        <f t="shared" si="29"/>
        <v>-13401.166935450783</v>
      </c>
      <c r="Q352" s="443">
        <f t="shared" si="26"/>
        <v>0.02</v>
      </c>
      <c r="R352" s="437">
        <f t="shared" si="27"/>
        <v>2.9753413775391581E-136</v>
      </c>
      <c r="T352" s="439">
        <v>2.94999999999999</v>
      </c>
    </row>
    <row r="353" spans="15:20" x14ac:dyDescent="0.3">
      <c r="O353" s="435">
        <f t="shared" si="28"/>
        <v>-320.49371917924213</v>
      </c>
      <c r="P353" s="437">
        <f t="shared" si="29"/>
        <v>-13446.594619977735</v>
      </c>
      <c r="Q353" s="443">
        <f t="shared" si="26"/>
        <v>0.02</v>
      </c>
      <c r="R353" s="437">
        <f t="shared" si="27"/>
        <v>1.0076387574642765E-136</v>
      </c>
      <c r="T353" s="439">
        <v>2.9599999999999902</v>
      </c>
    </row>
    <row r="354" spans="15:20" x14ac:dyDescent="0.3">
      <c r="O354" s="435">
        <f t="shared" si="28"/>
        <v>-321.57646823052335</v>
      </c>
      <c r="P354" s="437">
        <f t="shared" si="29"/>
        <v>-13492.022304504688</v>
      </c>
      <c r="Q354" s="443">
        <f t="shared" si="26"/>
        <v>0.02</v>
      </c>
      <c r="R354" s="437">
        <f t="shared" si="27"/>
        <v>3.4125020853370841E-137</v>
      </c>
      <c r="T354" s="439">
        <v>2.96999999999999</v>
      </c>
    </row>
    <row r="355" spans="15:20" x14ac:dyDescent="0.3">
      <c r="O355" s="435">
        <f t="shared" si="28"/>
        <v>-322.65921728180456</v>
      </c>
      <c r="P355" s="437">
        <f t="shared" si="29"/>
        <v>-13537.44998903164</v>
      </c>
      <c r="Q355" s="443">
        <f t="shared" si="26"/>
        <v>0.02</v>
      </c>
      <c r="R355" s="437">
        <f t="shared" si="27"/>
        <v>1.1556890201142149E-137</v>
      </c>
      <c r="T355" s="439">
        <v>2.9799999999999902</v>
      </c>
    </row>
    <row r="356" spans="15:20" x14ac:dyDescent="0.3">
      <c r="O356" s="435">
        <f t="shared" si="28"/>
        <v>-323.74196633308577</v>
      </c>
      <c r="P356" s="437">
        <f t="shared" si="29"/>
        <v>-13582.877673558591</v>
      </c>
      <c r="Q356" s="443">
        <f t="shared" si="26"/>
        <v>0.02</v>
      </c>
      <c r="R356" s="437">
        <f t="shared" si="27"/>
        <v>3.9138939048607881E-138</v>
      </c>
      <c r="T356" s="439">
        <v>2.98999999999999</v>
      </c>
    </row>
    <row r="357" spans="15:20" x14ac:dyDescent="0.3">
      <c r="O357" s="435">
        <f t="shared" si="28"/>
        <v>-324.82471538436698</v>
      </c>
      <c r="P357" s="437">
        <f t="shared" si="29"/>
        <v>-13628.305358085541</v>
      </c>
      <c r="Q357" s="443">
        <f t="shared" si="26"/>
        <v>0.02</v>
      </c>
      <c r="R357" s="437">
        <f t="shared" si="27"/>
        <v>1.3254919993089939E-138</v>
      </c>
      <c r="T357" s="439">
        <v>2.9999999999999898</v>
      </c>
    </row>
    <row r="358" spans="15:20" x14ac:dyDescent="0.3">
      <c r="O358" s="435">
        <f t="shared" si="28"/>
        <v>-325.90746443564825</v>
      </c>
      <c r="P358" s="437">
        <f t="shared" si="29"/>
        <v>-13673.733042612495</v>
      </c>
      <c r="Q358" s="443">
        <f t="shared" si="26"/>
        <v>0.02</v>
      </c>
      <c r="R358" s="437">
        <f t="shared" si="27"/>
        <v>4.488954179493901E-139</v>
      </c>
      <c r="T358" s="439">
        <v>3.00999999999999</v>
      </c>
    </row>
    <row r="359" spans="15:20" x14ac:dyDescent="0.3">
      <c r="O359" s="435">
        <f t="shared" si="28"/>
        <v>-326.99021348692946</v>
      </c>
      <c r="P359" s="437">
        <f t="shared" si="29"/>
        <v>-13719.160727139446</v>
      </c>
      <c r="Q359" s="443">
        <f t="shared" si="26"/>
        <v>0.02</v>
      </c>
      <c r="R359" s="437">
        <f t="shared" si="27"/>
        <v>1.5202437763563933E-139</v>
      </c>
      <c r="T359" s="439">
        <v>3.0199999999999898</v>
      </c>
    </row>
    <row r="360" spans="15:20" x14ac:dyDescent="0.3">
      <c r="O360" s="435">
        <f t="shared" si="28"/>
        <v>-328.07296253821067</v>
      </c>
      <c r="P360" s="437">
        <f t="shared" si="29"/>
        <v>-13764.588411666398</v>
      </c>
      <c r="Q360" s="443">
        <f t="shared" si="26"/>
        <v>0.02</v>
      </c>
      <c r="R360" s="437">
        <f t="shared" si="27"/>
        <v>5.1485068618163383E-140</v>
      </c>
      <c r="T360" s="439">
        <v>3.02999999999999</v>
      </c>
    </row>
    <row r="361" spans="15:20" x14ac:dyDescent="0.3">
      <c r="O361" s="435">
        <f t="shared" si="28"/>
        <v>-329.15571158949189</v>
      </c>
      <c r="P361" s="437">
        <f t="shared" si="29"/>
        <v>-13810.016096193351</v>
      </c>
      <c r="Q361" s="443">
        <f t="shared" si="26"/>
        <v>0.02</v>
      </c>
      <c r="R361" s="437">
        <f t="shared" si="27"/>
        <v>1.7436100261301649E-140</v>
      </c>
      <c r="T361" s="439">
        <v>3.0399999999999898</v>
      </c>
    </row>
    <row r="362" spans="15:20" x14ac:dyDescent="0.3">
      <c r="O362" s="435">
        <f t="shared" si="28"/>
        <v>-330.23846064077316</v>
      </c>
      <c r="P362" s="437">
        <f t="shared" si="29"/>
        <v>-13855.443780720303</v>
      </c>
      <c r="Q362" s="443">
        <f t="shared" si="26"/>
        <v>0.02</v>
      </c>
      <c r="R362" s="437">
        <f t="shared" si="27"/>
        <v>5.9049662452016606E-141</v>
      </c>
      <c r="T362" s="439">
        <v>3.0499999999999901</v>
      </c>
    </row>
    <row r="363" spans="15:20" x14ac:dyDescent="0.3">
      <c r="O363" s="435">
        <f t="shared" si="28"/>
        <v>-331.32120969205437</v>
      </c>
      <c r="P363" s="437">
        <f t="shared" si="29"/>
        <v>-13900.871465247254</v>
      </c>
      <c r="Q363" s="443">
        <f t="shared" si="26"/>
        <v>0.02</v>
      </c>
      <c r="R363" s="437">
        <f t="shared" si="27"/>
        <v>1.9997950134733835E-141</v>
      </c>
      <c r="T363" s="439">
        <v>3.0599999999999898</v>
      </c>
    </row>
    <row r="364" spans="15:20" x14ac:dyDescent="0.3">
      <c r="O364" s="435">
        <f t="shared" si="28"/>
        <v>-332.40395874333558</v>
      </c>
      <c r="P364" s="437">
        <f t="shared" si="29"/>
        <v>-13946.299149774208</v>
      </c>
      <c r="Q364" s="443">
        <f t="shared" si="26"/>
        <v>0.02</v>
      </c>
      <c r="R364" s="437">
        <f t="shared" si="27"/>
        <v>6.772570629277887E-142</v>
      </c>
      <c r="T364" s="439">
        <v>3.0699999999999901</v>
      </c>
    </row>
    <row r="365" spans="15:20" x14ac:dyDescent="0.3">
      <c r="O365" s="435">
        <f t="shared" si="28"/>
        <v>-333.48670779461679</v>
      </c>
      <c r="P365" s="437">
        <f t="shared" si="29"/>
        <v>-13991.726834301158</v>
      </c>
      <c r="Q365" s="443">
        <f t="shared" si="26"/>
        <v>0.02</v>
      </c>
      <c r="R365" s="437">
        <f t="shared" si="27"/>
        <v>2.2936207271009854E-142</v>
      </c>
      <c r="T365" s="439">
        <v>3.0799999999999899</v>
      </c>
    </row>
    <row r="366" spans="15:20" x14ac:dyDescent="0.3">
      <c r="O366" s="435">
        <f t="shared" si="28"/>
        <v>-334.56945684589806</v>
      </c>
      <c r="P366" s="437">
        <f t="shared" si="29"/>
        <v>-14037.154518828111</v>
      </c>
      <c r="Q366" s="443">
        <f t="shared" si="26"/>
        <v>0.02</v>
      </c>
      <c r="R366" s="437">
        <f t="shared" si="27"/>
        <v>7.7676503173623858E-143</v>
      </c>
      <c r="T366" s="439">
        <v>3.0899999999999901</v>
      </c>
    </row>
    <row r="367" spans="15:20" x14ac:dyDescent="0.3">
      <c r="O367" s="435">
        <f t="shared" si="28"/>
        <v>-335.65220589717927</v>
      </c>
      <c r="P367" s="437">
        <f t="shared" si="29"/>
        <v>-14082.582203355063</v>
      </c>
      <c r="Q367" s="443">
        <f t="shared" si="26"/>
        <v>0.02</v>
      </c>
      <c r="R367" s="437">
        <f t="shared" si="27"/>
        <v>2.6306176404799668E-143</v>
      </c>
      <c r="T367" s="439">
        <v>3.0999999999999899</v>
      </c>
    </row>
    <row r="368" spans="15:20" x14ac:dyDescent="0.3">
      <c r="O368" s="435">
        <f t="shared" si="28"/>
        <v>-336.73495494846054</v>
      </c>
      <c r="P368" s="437">
        <f t="shared" si="29"/>
        <v>-14128.009887882015</v>
      </c>
      <c r="Q368" s="443">
        <f t="shared" si="26"/>
        <v>0.02</v>
      </c>
      <c r="R368" s="437">
        <f t="shared" si="27"/>
        <v>8.9089349902067002E-144</v>
      </c>
      <c r="T368" s="439">
        <v>3.1099999999999901</v>
      </c>
    </row>
    <row r="369" spans="15:20" x14ac:dyDescent="0.3">
      <c r="O369" s="435">
        <f t="shared" si="28"/>
        <v>-337.8177039997417</v>
      </c>
      <c r="P369" s="437">
        <f t="shared" si="29"/>
        <v>-14173.437572408966</v>
      </c>
      <c r="Q369" s="443">
        <f t="shared" si="26"/>
        <v>0.02</v>
      </c>
      <c r="R369" s="437">
        <f t="shared" si="27"/>
        <v>3.0171288080185257E-144</v>
      </c>
      <c r="T369" s="439">
        <v>3.1199999999999899</v>
      </c>
    </row>
    <row r="370" spans="15:20" x14ac:dyDescent="0.3">
      <c r="O370" s="435">
        <f t="shared" si="28"/>
        <v>-338.90045305102296</v>
      </c>
      <c r="P370" s="437">
        <f t="shared" si="29"/>
        <v>-14218.865256935918</v>
      </c>
      <c r="Q370" s="443">
        <f t="shared" si="26"/>
        <v>0.02</v>
      </c>
      <c r="R370" s="437">
        <f t="shared" si="27"/>
        <v>1.0217906241521524E-144</v>
      </c>
      <c r="T370" s="439">
        <v>3.1299999999999901</v>
      </c>
    </row>
    <row r="371" spans="15:20" x14ac:dyDescent="0.3">
      <c r="O371" s="435">
        <f t="shared" si="28"/>
        <v>-339.98320210230418</v>
      </c>
      <c r="P371" s="437">
        <f t="shared" si="29"/>
        <v>-14264.292941462871</v>
      </c>
      <c r="Q371" s="443">
        <f t="shared" si="26"/>
        <v>0.02</v>
      </c>
      <c r="R371" s="437">
        <f t="shared" si="27"/>
        <v>3.4604292558890772E-145</v>
      </c>
      <c r="T371" s="439">
        <v>3.1399999999999899</v>
      </c>
    </row>
    <row r="372" spans="15:20" x14ac:dyDescent="0.3">
      <c r="O372" s="435">
        <f t="shared" si="28"/>
        <v>-341.06595115358544</v>
      </c>
      <c r="P372" s="437">
        <f t="shared" si="29"/>
        <v>-14309.720625989823</v>
      </c>
      <c r="Q372" s="443">
        <f t="shared" si="26"/>
        <v>0.02</v>
      </c>
      <c r="R372" s="437">
        <f t="shared" si="27"/>
        <v>1.171920191081069E-145</v>
      </c>
      <c r="T372" s="439">
        <v>3.1499999999999901</v>
      </c>
    </row>
    <row r="373" spans="15:20" x14ac:dyDescent="0.3">
      <c r="O373" s="435">
        <f t="shared" si="28"/>
        <v>-342.14870020486666</v>
      </c>
      <c r="P373" s="437">
        <f t="shared" si="29"/>
        <v>-14355.148310516774</v>
      </c>
      <c r="Q373" s="443">
        <f t="shared" si="26"/>
        <v>0.02</v>
      </c>
      <c r="R373" s="437">
        <f t="shared" si="27"/>
        <v>3.9688629146984393E-146</v>
      </c>
      <c r="T373" s="439">
        <v>3.1599999999999899</v>
      </c>
    </row>
    <row r="374" spans="15:20" x14ac:dyDescent="0.3">
      <c r="O374" s="435">
        <f t="shared" si="28"/>
        <v>-343.23144925614787</v>
      </c>
      <c r="P374" s="437">
        <f t="shared" si="29"/>
        <v>-14400.575995043728</v>
      </c>
      <c r="Q374" s="443">
        <f t="shared" si="26"/>
        <v>0.02</v>
      </c>
      <c r="R374" s="437">
        <f t="shared" si="27"/>
        <v>1.3441079823991987E-146</v>
      </c>
      <c r="T374" s="439">
        <v>3.1699999999999902</v>
      </c>
    </row>
    <row r="375" spans="15:20" x14ac:dyDescent="0.3">
      <c r="O375" s="435">
        <f t="shared" si="28"/>
        <v>-344.31419830742908</v>
      </c>
      <c r="P375" s="437">
        <f t="shared" si="29"/>
        <v>-14446.003679570678</v>
      </c>
      <c r="Q375" s="443">
        <f t="shared" si="26"/>
        <v>0.02</v>
      </c>
      <c r="R375" s="437">
        <f t="shared" si="27"/>
        <v>4.5519996713882851E-147</v>
      </c>
      <c r="T375" s="439">
        <v>3.1799999999999899</v>
      </c>
    </row>
    <row r="376" spans="15:20" x14ac:dyDescent="0.3">
      <c r="O376" s="435">
        <f t="shared" si="28"/>
        <v>-345.39694735871035</v>
      </c>
      <c r="P376" s="437">
        <f t="shared" si="29"/>
        <v>-14491.431364097631</v>
      </c>
      <c r="Q376" s="443">
        <f t="shared" si="26"/>
        <v>0.02</v>
      </c>
      <c r="R376" s="437">
        <f t="shared" si="27"/>
        <v>1.541594967045129E-147</v>
      </c>
      <c r="T376" s="439">
        <v>3.1899999999999902</v>
      </c>
    </row>
    <row r="377" spans="15:20" x14ac:dyDescent="0.3">
      <c r="O377" s="435">
        <f t="shared" si="28"/>
        <v>-346.47969640999156</v>
      </c>
      <c r="P377" s="437">
        <f t="shared" si="29"/>
        <v>-14536.859048624583</v>
      </c>
      <c r="Q377" s="443">
        <f t="shared" si="26"/>
        <v>0.02</v>
      </c>
      <c r="R377" s="437">
        <f t="shared" si="27"/>
        <v>5.2208154964435872E-148</v>
      </c>
      <c r="T377" s="439">
        <v>3.19999999999999</v>
      </c>
    </row>
    <row r="378" spans="15:20" x14ac:dyDescent="0.3">
      <c r="O378" s="435">
        <f t="shared" si="28"/>
        <v>-347.56244546127277</v>
      </c>
      <c r="P378" s="437">
        <f t="shared" si="29"/>
        <v>-14582.286733151535</v>
      </c>
      <c r="Q378" s="443">
        <f t="shared" ref="Q378:Q441" si="30">$S$57*(1+(EXP(O378)/(2*SQRT($Z$53^2-1)*(SQRT($Z$53^2-1)-$Z$53)))+(EXP(P378)/(2*SQRT($Z$53^2-1)*(SQRT($Z$53^2-1)+$Z$53))))</f>
        <v>0.02</v>
      </c>
      <c r="R378" s="437">
        <f t="shared" ref="R378:R441" si="31">$S$57*$Z$52^2/(2*SQRT($Z$53^2-1))*(EXP(O378)-EXP(P378))</f>
        <v>1.7680983027695349E-148</v>
      </c>
      <c r="T378" s="439">
        <v>3.2099999999999902</v>
      </c>
    </row>
    <row r="379" spans="15:20" x14ac:dyDescent="0.3">
      <c r="O379" s="435">
        <f t="shared" si="28"/>
        <v>-348.64519451255399</v>
      </c>
      <c r="P379" s="437">
        <f t="shared" si="29"/>
        <v>-14627.714417678486</v>
      </c>
      <c r="Q379" s="443">
        <f t="shared" si="30"/>
        <v>0.02</v>
      </c>
      <c r="R379" s="437">
        <f t="shared" si="31"/>
        <v>5.9878990368191606E-149</v>
      </c>
      <c r="T379" s="439">
        <v>3.21999999999999</v>
      </c>
    </row>
    <row r="380" spans="15:20" x14ac:dyDescent="0.3">
      <c r="O380" s="435">
        <f t="shared" si="28"/>
        <v>-349.72794356383525</v>
      </c>
      <c r="P380" s="437">
        <f t="shared" si="29"/>
        <v>-14673.142102205438</v>
      </c>
      <c r="Q380" s="443">
        <f t="shared" si="30"/>
        <v>0.02</v>
      </c>
      <c r="R380" s="437">
        <f t="shared" si="31"/>
        <v>2.0278813015642234E-149</v>
      </c>
      <c r="T380" s="439">
        <v>3.2299999999999902</v>
      </c>
    </row>
    <row r="381" spans="15:20" x14ac:dyDescent="0.3">
      <c r="O381" s="435">
        <f t="shared" si="28"/>
        <v>-350.81069261511647</v>
      </c>
      <c r="P381" s="437">
        <f t="shared" si="29"/>
        <v>-14718.569786732391</v>
      </c>
      <c r="Q381" s="443">
        <f t="shared" si="30"/>
        <v>0.02</v>
      </c>
      <c r="R381" s="437">
        <f t="shared" si="31"/>
        <v>6.8676885631300573E-150</v>
      </c>
      <c r="T381" s="439">
        <v>3.23999999999999</v>
      </c>
    </row>
    <row r="382" spans="15:20" x14ac:dyDescent="0.3">
      <c r="O382" s="435">
        <f t="shared" si="28"/>
        <v>-351.89344166639768</v>
      </c>
      <c r="P382" s="437">
        <f t="shared" si="29"/>
        <v>-14763.997471259341</v>
      </c>
      <c r="Q382" s="443">
        <f t="shared" si="30"/>
        <v>0.02</v>
      </c>
      <c r="R382" s="437">
        <f t="shared" si="31"/>
        <v>2.3258336749673737E-150</v>
      </c>
      <c r="T382" s="439">
        <v>3.2499999999999898</v>
      </c>
    </row>
    <row r="383" spans="15:20" x14ac:dyDescent="0.3">
      <c r="O383" s="435">
        <f t="shared" si="28"/>
        <v>-352.97619071767889</v>
      </c>
      <c r="P383" s="437">
        <f t="shared" si="29"/>
        <v>-14809.425155786294</v>
      </c>
      <c r="Q383" s="443">
        <f t="shared" si="30"/>
        <v>0.02</v>
      </c>
      <c r="R383" s="437">
        <f t="shared" si="31"/>
        <v>7.8767437310039766E-151</v>
      </c>
      <c r="T383" s="439">
        <v>3.25999999999999</v>
      </c>
    </row>
    <row r="384" spans="15:20" x14ac:dyDescent="0.3">
      <c r="O384" s="435">
        <f t="shared" si="28"/>
        <v>-354.0589397689601</v>
      </c>
      <c r="P384" s="437">
        <f t="shared" si="29"/>
        <v>-14854.852840313246</v>
      </c>
      <c r="Q384" s="443">
        <f t="shared" si="30"/>
        <v>0.02</v>
      </c>
      <c r="R384" s="437">
        <f t="shared" si="31"/>
        <v>2.6675635696426474E-151</v>
      </c>
      <c r="T384" s="439">
        <v>3.2699999999999898</v>
      </c>
    </row>
    <row r="385" spans="15:20" x14ac:dyDescent="0.3">
      <c r="O385" s="435">
        <f t="shared" si="28"/>
        <v>-355.14168882024137</v>
      </c>
      <c r="P385" s="437">
        <f t="shared" si="29"/>
        <v>-14900.280524840198</v>
      </c>
      <c r="Q385" s="443">
        <f t="shared" si="30"/>
        <v>0.02</v>
      </c>
      <c r="R385" s="437">
        <f t="shared" si="31"/>
        <v>9.0340572717569178E-152</v>
      </c>
      <c r="T385" s="439">
        <v>3.27999999999999</v>
      </c>
    </row>
    <row r="386" spans="15:20" x14ac:dyDescent="0.3">
      <c r="O386" s="435">
        <f t="shared" si="28"/>
        <v>-356.22443787152258</v>
      </c>
      <c r="P386" s="437">
        <f t="shared" si="29"/>
        <v>-14945.708209367149</v>
      </c>
      <c r="Q386" s="443">
        <f t="shared" si="30"/>
        <v>0.02</v>
      </c>
      <c r="R386" s="437">
        <f t="shared" si="31"/>
        <v>3.0595031255552013E-152</v>
      </c>
      <c r="T386" s="439">
        <v>3.2899999999999898</v>
      </c>
    </row>
    <row r="387" spans="15:20" x14ac:dyDescent="0.3">
      <c r="O387" s="435">
        <f t="shared" si="28"/>
        <v>-357.30718692280385</v>
      </c>
      <c r="P387" s="437">
        <f t="shared" si="29"/>
        <v>-14991.135893894103</v>
      </c>
      <c r="Q387" s="443">
        <f t="shared" si="30"/>
        <v>0.02</v>
      </c>
      <c r="R387" s="437">
        <f t="shared" si="31"/>
        <v>1.0361412479136406E-152</v>
      </c>
      <c r="T387" s="439">
        <v>3.2999999999999901</v>
      </c>
    </row>
    <row r="388" spans="15:20" x14ac:dyDescent="0.3">
      <c r="O388" s="435">
        <f t="shared" si="28"/>
        <v>-358.38993597408501</v>
      </c>
      <c r="P388" s="437">
        <f t="shared" si="29"/>
        <v>-15036.563578421054</v>
      </c>
      <c r="Q388" s="443">
        <f t="shared" si="30"/>
        <v>0.02</v>
      </c>
      <c r="R388" s="437">
        <f t="shared" si="31"/>
        <v>3.5090295435907973E-153</v>
      </c>
      <c r="T388" s="439">
        <v>3.3099999999999898</v>
      </c>
    </row>
    <row r="389" spans="15:20" x14ac:dyDescent="0.3">
      <c r="O389" s="435">
        <f t="shared" si="28"/>
        <v>-359.47268502536627</v>
      </c>
      <c r="P389" s="437">
        <f t="shared" si="29"/>
        <v>-15081.991262948006</v>
      </c>
      <c r="Q389" s="443">
        <f t="shared" si="30"/>
        <v>0.02</v>
      </c>
      <c r="R389" s="437">
        <f t="shared" si="31"/>
        <v>1.188379322084272E-153</v>
      </c>
      <c r="T389" s="439">
        <v>3.3199999999999901</v>
      </c>
    </row>
    <row r="390" spans="15:20" x14ac:dyDescent="0.3">
      <c r="O390" s="435">
        <f t="shared" si="28"/>
        <v>-360.55543407664749</v>
      </c>
      <c r="P390" s="437">
        <f t="shared" si="29"/>
        <v>-15127.418947474956</v>
      </c>
      <c r="Q390" s="443">
        <f t="shared" si="30"/>
        <v>0.02</v>
      </c>
      <c r="R390" s="437">
        <f t="shared" si="31"/>
        <v>4.0246039413860295E-154</v>
      </c>
      <c r="T390" s="439">
        <v>3.3299999999999899</v>
      </c>
    </row>
    <row r="391" spans="15:20" x14ac:dyDescent="0.3">
      <c r="O391" s="435">
        <f t="shared" si="28"/>
        <v>-361.63818312792876</v>
      </c>
      <c r="P391" s="437">
        <f t="shared" si="29"/>
        <v>-15172.846632001911</v>
      </c>
      <c r="Q391" s="443">
        <f t="shared" si="30"/>
        <v>0.02</v>
      </c>
      <c r="R391" s="437">
        <f t="shared" si="31"/>
        <v>1.3629854192187321E-154</v>
      </c>
      <c r="T391" s="439">
        <v>3.3399999999999901</v>
      </c>
    </row>
    <row r="392" spans="15:20" x14ac:dyDescent="0.3">
      <c r="O392" s="435">
        <f t="shared" si="28"/>
        <v>-362.72093217920991</v>
      </c>
      <c r="P392" s="437">
        <f t="shared" si="29"/>
        <v>-15218.274316528861</v>
      </c>
      <c r="Q392" s="443">
        <f t="shared" si="30"/>
        <v>0.02</v>
      </c>
      <c r="R392" s="437">
        <f t="shared" si="31"/>
        <v>4.6159306109591805E-155</v>
      </c>
      <c r="T392" s="439">
        <v>3.3499999999999899</v>
      </c>
    </row>
    <row r="393" spans="15:20" x14ac:dyDescent="0.3">
      <c r="O393" s="435">
        <f t="shared" si="28"/>
        <v>-363.80368123049118</v>
      </c>
      <c r="P393" s="437">
        <f t="shared" si="29"/>
        <v>-15263.702001055814</v>
      </c>
      <c r="Q393" s="443">
        <f t="shared" si="30"/>
        <v>0.02</v>
      </c>
      <c r="R393" s="437">
        <f t="shared" si="31"/>
        <v>1.5632460263148459E-155</v>
      </c>
      <c r="T393" s="439">
        <v>3.3599999999999901</v>
      </c>
    </row>
    <row r="394" spans="15:20" x14ac:dyDescent="0.3">
      <c r="O394" s="435">
        <f t="shared" si="28"/>
        <v>-364.88643028177239</v>
      </c>
      <c r="P394" s="437">
        <f t="shared" si="29"/>
        <v>-15309.129685582766</v>
      </c>
      <c r="Q394" s="443">
        <f t="shared" si="30"/>
        <v>0.02</v>
      </c>
      <c r="R394" s="437">
        <f t="shared" si="31"/>
        <v>5.294139675729421E-156</v>
      </c>
      <c r="T394" s="439">
        <v>3.3699999999999899</v>
      </c>
    </row>
    <row r="395" spans="15:20" x14ac:dyDescent="0.3">
      <c r="O395" s="435">
        <f t="shared" si="28"/>
        <v>-365.96917933305366</v>
      </c>
      <c r="P395" s="437">
        <f t="shared" si="29"/>
        <v>-15354.557370109718</v>
      </c>
      <c r="Q395" s="443">
        <f t="shared" si="30"/>
        <v>0.02</v>
      </c>
      <c r="R395" s="437">
        <f t="shared" si="31"/>
        <v>1.7929305070554428E-156</v>
      </c>
      <c r="T395" s="439">
        <v>3.3799999999999901</v>
      </c>
    </row>
    <row r="396" spans="15:20" x14ac:dyDescent="0.3">
      <c r="O396" s="435">
        <f t="shared" si="28"/>
        <v>-367.05192838433487</v>
      </c>
      <c r="P396" s="437">
        <f t="shared" si="29"/>
        <v>-15399.985054636669</v>
      </c>
      <c r="Q396" s="443">
        <f t="shared" si="30"/>
        <v>0.02</v>
      </c>
      <c r="R396" s="437">
        <f t="shared" si="31"/>
        <v>6.0719965849547898E-157</v>
      </c>
      <c r="T396" s="439">
        <v>3.3899999999999899</v>
      </c>
    </row>
    <row r="397" spans="15:20" x14ac:dyDescent="0.3">
      <c r="O397" s="435">
        <f t="shared" si="28"/>
        <v>-368.13467743561608</v>
      </c>
      <c r="P397" s="437">
        <f t="shared" si="29"/>
        <v>-15445.412739163623</v>
      </c>
      <c r="Q397" s="443">
        <f t="shared" si="30"/>
        <v>0.02</v>
      </c>
      <c r="R397" s="437">
        <f t="shared" si="31"/>
        <v>2.0563620498740566E-157</v>
      </c>
      <c r="T397" s="439">
        <v>3.3999999999999901</v>
      </c>
    </row>
    <row r="398" spans="15:20" x14ac:dyDescent="0.3">
      <c r="O398" s="435">
        <f t="shared" si="28"/>
        <v>-369.2174264868973</v>
      </c>
      <c r="P398" s="437">
        <f t="shared" si="29"/>
        <v>-15490.840423690574</v>
      </c>
      <c r="Q398" s="443">
        <f t="shared" si="30"/>
        <v>0.02</v>
      </c>
      <c r="R398" s="437">
        <f t="shared" si="31"/>
        <v>6.9641423887489191E-158</v>
      </c>
      <c r="T398" s="439">
        <v>3.4099999999999899</v>
      </c>
    </row>
    <row r="399" spans="15:20" x14ac:dyDescent="0.3">
      <c r="O399" s="435">
        <f t="shared" si="28"/>
        <v>-370.30017553817856</v>
      </c>
      <c r="P399" s="437">
        <f t="shared" si="29"/>
        <v>-15536.268108217526</v>
      </c>
      <c r="Q399" s="443">
        <f t="shared" si="30"/>
        <v>0.02</v>
      </c>
      <c r="R399" s="437">
        <f t="shared" si="31"/>
        <v>2.3584990402705166E-158</v>
      </c>
      <c r="T399" s="439">
        <v>3.4199999999999902</v>
      </c>
    </row>
    <row r="400" spans="15:20" x14ac:dyDescent="0.3">
      <c r="O400" s="435">
        <f t="shared" si="28"/>
        <v>-371.38292458945978</v>
      </c>
      <c r="P400" s="437">
        <f t="shared" si="29"/>
        <v>-15581.695792744476</v>
      </c>
      <c r="Q400" s="443">
        <f t="shared" si="30"/>
        <v>0.02</v>
      </c>
      <c r="R400" s="437">
        <f t="shared" si="31"/>
        <v>7.9873693162045579E-159</v>
      </c>
      <c r="T400" s="439">
        <v>3.4299999999999899</v>
      </c>
    </row>
    <row r="401" spans="15:20" x14ac:dyDescent="0.3">
      <c r="O401" s="435">
        <f t="shared" si="28"/>
        <v>-372.46567364074099</v>
      </c>
      <c r="P401" s="437">
        <f t="shared" si="29"/>
        <v>-15627.123477271431</v>
      </c>
      <c r="Q401" s="443">
        <f t="shared" si="30"/>
        <v>0.02</v>
      </c>
      <c r="R401" s="437">
        <f t="shared" si="31"/>
        <v>2.7050283889930485E-159</v>
      </c>
      <c r="T401" s="439">
        <v>3.4399999999999902</v>
      </c>
    </row>
    <row r="402" spans="15:20" x14ac:dyDescent="0.3">
      <c r="O402" s="435">
        <f t="shared" si="28"/>
        <v>-373.5484226920222</v>
      </c>
      <c r="P402" s="437">
        <f t="shared" si="29"/>
        <v>-15672.551161798381</v>
      </c>
      <c r="Q402" s="443">
        <f t="shared" si="30"/>
        <v>0.02</v>
      </c>
      <c r="R402" s="437">
        <f t="shared" si="31"/>
        <v>9.1609368436406671E-160</v>
      </c>
      <c r="T402" s="439">
        <v>3.44999999999999</v>
      </c>
    </row>
    <row r="403" spans="15:20" x14ac:dyDescent="0.3">
      <c r="O403" s="435">
        <f t="shared" si="28"/>
        <v>-374.63117174330347</v>
      </c>
      <c r="P403" s="437">
        <f t="shared" si="29"/>
        <v>-15717.978846325334</v>
      </c>
      <c r="Q403" s="443">
        <f t="shared" si="30"/>
        <v>0.02</v>
      </c>
      <c r="R403" s="437">
        <f t="shared" si="31"/>
        <v>3.1024725727336496E-160</v>
      </c>
      <c r="T403" s="439">
        <v>3.4599999999999902</v>
      </c>
    </row>
    <row r="404" spans="15:20" x14ac:dyDescent="0.3">
      <c r="O404" s="435">
        <f t="shared" si="28"/>
        <v>-375.71392079458468</v>
      </c>
      <c r="P404" s="437">
        <f t="shared" si="29"/>
        <v>-15763.406530852286</v>
      </c>
      <c r="Q404" s="443">
        <f t="shared" si="30"/>
        <v>0.02</v>
      </c>
      <c r="R404" s="437">
        <f t="shared" si="31"/>
        <v>1.0506934202091797E-160</v>
      </c>
      <c r="T404" s="439">
        <v>3.46999999999999</v>
      </c>
    </row>
    <row r="405" spans="15:20" x14ac:dyDescent="0.3">
      <c r="O405" s="435">
        <f t="shared" si="28"/>
        <v>-376.79666984586595</v>
      </c>
      <c r="P405" s="437">
        <f t="shared" si="29"/>
        <v>-15808.834215379238</v>
      </c>
      <c r="Q405" s="443">
        <f t="shared" si="30"/>
        <v>0.02</v>
      </c>
      <c r="R405" s="437">
        <f t="shared" si="31"/>
        <v>3.5583124020918684E-161</v>
      </c>
      <c r="T405" s="439">
        <v>3.4799999999999902</v>
      </c>
    </row>
    <row r="406" spans="15:20" x14ac:dyDescent="0.3">
      <c r="O406" s="435">
        <f t="shared" si="28"/>
        <v>-377.8794188971471</v>
      </c>
      <c r="P406" s="437">
        <f t="shared" si="29"/>
        <v>-15854.261899906189</v>
      </c>
      <c r="Q406" s="443">
        <f t="shared" si="30"/>
        <v>0.02</v>
      </c>
      <c r="R406" s="437">
        <f t="shared" si="31"/>
        <v>1.2050696147275273E-161</v>
      </c>
      <c r="T406" s="439">
        <v>3.48999999999999</v>
      </c>
    </row>
    <row r="407" spans="15:20" x14ac:dyDescent="0.3">
      <c r="O407" s="435">
        <f t="shared" si="28"/>
        <v>-378.96216794842832</v>
      </c>
      <c r="P407" s="437">
        <f t="shared" si="29"/>
        <v>-15899.689584433139</v>
      </c>
      <c r="Q407" s="443">
        <f t="shared" si="30"/>
        <v>0.02</v>
      </c>
      <c r="R407" s="437">
        <f t="shared" si="31"/>
        <v>4.0811278275784619E-162</v>
      </c>
      <c r="T407" s="439">
        <v>3.4999999999999898</v>
      </c>
    </row>
    <row r="408" spans="15:20" x14ac:dyDescent="0.3">
      <c r="O408" s="435">
        <f t="shared" si="28"/>
        <v>-380.04491699970959</v>
      </c>
      <c r="P408" s="437">
        <f t="shared" si="29"/>
        <v>-15945.117268960093</v>
      </c>
      <c r="Q408" s="443">
        <f t="shared" si="30"/>
        <v>0.02</v>
      </c>
      <c r="R408" s="437">
        <f t="shared" si="31"/>
        <v>1.3821279817764115E-162</v>
      </c>
      <c r="T408" s="439">
        <v>3.50999999999999</v>
      </c>
    </row>
    <row r="409" spans="15:20" x14ac:dyDescent="0.3">
      <c r="O409" s="435">
        <f t="shared" si="28"/>
        <v>-381.1276660509908</v>
      </c>
      <c r="P409" s="437">
        <f t="shared" si="29"/>
        <v>-15990.544953487044</v>
      </c>
      <c r="Q409" s="443">
        <f t="shared" si="30"/>
        <v>0.02</v>
      </c>
      <c r="R409" s="437">
        <f t="shared" si="31"/>
        <v>4.6807594339501692E-163</v>
      </c>
      <c r="T409" s="439">
        <v>3.5199999999999898</v>
      </c>
    </row>
    <row r="410" spans="15:20" x14ac:dyDescent="0.3">
      <c r="O410" s="435">
        <f t="shared" ref="O410:O473" si="32">-$Z$52*($Z$53-SQRT($Z$53^2-1))*T410</f>
        <v>-382.21041510227207</v>
      </c>
      <c r="P410" s="437">
        <f t="shared" ref="P410:P473" si="33">-$Z$52*($Z$53+SQRT($Z$53^2-1))*T410</f>
        <v>-16035.972638013996</v>
      </c>
      <c r="Q410" s="443">
        <f t="shared" si="30"/>
        <v>0.02</v>
      </c>
      <c r="R410" s="437">
        <f t="shared" si="31"/>
        <v>1.5852011656946972E-163</v>
      </c>
      <c r="T410" s="439">
        <v>3.52999999999999</v>
      </c>
    </row>
    <row r="411" spans="15:20" x14ac:dyDescent="0.3">
      <c r="O411" s="435">
        <f t="shared" si="32"/>
        <v>-383.29316415355322</v>
      </c>
      <c r="P411" s="437">
        <f t="shared" si="33"/>
        <v>-16081.400322540949</v>
      </c>
      <c r="Q411" s="443">
        <f t="shared" si="30"/>
        <v>0.02</v>
      </c>
      <c r="R411" s="437">
        <f t="shared" si="31"/>
        <v>5.3684936625753194E-164</v>
      </c>
      <c r="T411" s="439">
        <v>3.5399999999999898</v>
      </c>
    </row>
    <row r="412" spans="15:20" x14ac:dyDescent="0.3">
      <c r="O412" s="435">
        <f t="shared" si="32"/>
        <v>-384.37591320483449</v>
      </c>
      <c r="P412" s="437">
        <f t="shared" si="33"/>
        <v>-16126.828007067901</v>
      </c>
      <c r="Q412" s="443">
        <f t="shared" si="30"/>
        <v>0.02</v>
      </c>
      <c r="R412" s="437">
        <f t="shared" si="31"/>
        <v>1.8181114693085482E-164</v>
      </c>
      <c r="T412" s="439">
        <v>3.5499999999999901</v>
      </c>
    </row>
    <row r="413" spans="15:20" x14ac:dyDescent="0.3">
      <c r="O413" s="435">
        <f t="shared" si="32"/>
        <v>-385.4586622561157</v>
      </c>
      <c r="P413" s="437">
        <f t="shared" si="33"/>
        <v>-16172.255691594852</v>
      </c>
      <c r="Q413" s="443">
        <f t="shared" si="30"/>
        <v>0.02</v>
      </c>
      <c r="R413" s="437">
        <f t="shared" si="31"/>
        <v>6.1572752481294375E-165</v>
      </c>
      <c r="T413" s="439">
        <v>3.5599999999999898</v>
      </c>
    </row>
    <row r="414" spans="15:20" x14ac:dyDescent="0.3">
      <c r="O414" s="435">
        <f t="shared" si="32"/>
        <v>-386.54141130739697</v>
      </c>
      <c r="P414" s="437">
        <f t="shared" si="33"/>
        <v>-16217.683376121806</v>
      </c>
      <c r="Q414" s="443">
        <f t="shared" si="30"/>
        <v>0.02</v>
      </c>
      <c r="R414" s="437">
        <f t="shared" si="31"/>
        <v>2.08524279843214E-165</v>
      </c>
      <c r="T414" s="439">
        <v>3.5699999999999901</v>
      </c>
    </row>
    <row r="415" spans="15:20" x14ac:dyDescent="0.3">
      <c r="O415" s="435">
        <f t="shared" si="32"/>
        <v>-387.62416035867818</v>
      </c>
      <c r="P415" s="437">
        <f t="shared" si="33"/>
        <v>-16263.111060648756</v>
      </c>
      <c r="Q415" s="443">
        <f t="shared" si="30"/>
        <v>0.02</v>
      </c>
      <c r="R415" s="437">
        <f t="shared" si="31"/>
        <v>7.061950868177172E-166</v>
      </c>
      <c r="T415" s="439">
        <v>3.5799999999999899</v>
      </c>
    </row>
    <row r="416" spans="15:20" x14ac:dyDescent="0.3">
      <c r="O416" s="435">
        <f t="shared" si="32"/>
        <v>-388.70690940995939</v>
      </c>
      <c r="P416" s="437">
        <f t="shared" si="33"/>
        <v>-16308.538745175709</v>
      </c>
      <c r="Q416" s="443">
        <f t="shared" si="30"/>
        <v>0.02</v>
      </c>
      <c r="R416" s="437">
        <f t="shared" si="31"/>
        <v>2.3916231770250267E-166</v>
      </c>
      <c r="T416" s="439">
        <v>3.5899999999999901</v>
      </c>
    </row>
    <row r="417" spans="15:20" x14ac:dyDescent="0.3">
      <c r="O417" s="435">
        <f t="shared" si="32"/>
        <v>-389.78965846124061</v>
      </c>
      <c r="P417" s="437">
        <f t="shared" si="33"/>
        <v>-16353.966429702661</v>
      </c>
      <c r="Q417" s="443">
        <f t="shared" si="30"/>
        <v>0.02</v>
      </c>
      <c r="R417" s="437">
        <f t="shared" si="31"/>
        <v>8.0995485916764666E-167</v>
      </c>
      <c r="T417" s="439">
        <v>3.5999999999999899</v>
      </c>
    </row>
    <row r="418" spans="15:20" x14ac:dyDescent="0.3">
      <c r="O418" s="435">
        <f t="shared" si="32"/>
        <v>-390.87240751252187</v>
      </c>
      <c r="P418" s="437">
        <f t="shared" si="33"/>
        <v>-16399.394114229613</v>
      </c>
      <c r="Q418" s="443">
        <f t="shared" si="30"/>
        <v>0.02</v>
      </c>
      <c r="R418" s="437">
        <f t="shared" si="31"/>
        <v>2.7430193861279014E-167</v>
      </c>
      <c r="T418" s="439">
        <v>3.6099999999999901</v>
      </c>
    </row>
    <row r="419" spans="15:20" x14ac:dyDescent="0.3">
      <c r="O419" s="435">
        <f t="shared" si="32"/>
        <v>-391.95515656380309</v>
      </c>
      <c r="P419" s="437">
        <f t="shared" si="33"/>
        <v>-16444.821798756566</v>
      </c>
      <c r="Q419" s="443">
        <f t="shared" si="30"/>
        <v>0.02</v>
      </c>
      <c r="R419" s="437">
        <f t="shared" si="31"/>
        <v>9.2895983862682745E-168</v>
      </c>
      <c r="T419" s="439">
        <v>3.6199999999999899</v>
      </c>
    </row>
    <row r="420" spans="15:20" x14ac:dyDescent="0.3">
      <c r="O420" s="435">
        <f t="shared" si="32"/>
        <v>-393.0379056150843</v>
      </c>
      <c r="P420" s="437">
        <f t="shared" si="33"/>
        <v>-16490.249483283518</v>
      </c>
      <c r="Q420" s="443">
        <f t="shared" si="30"/>
        <v>0.02</v>
      </c>
      <c r="R420" s="437">
        <f t="shared" si="31"/>
        <v>3.1460455079020101E-168</v>
      </c>
      <c r="T420" s="439">
        <v>3.6299999999999901</v>
      </c>
    </row>
    <row r="421" spans="15:20" x14ac:dyDescent="0.3">
      <c r="O421" s="435">
        <f t="shared" si="32"/>
        <v>-394.12065466636551</v>
      </c>
      <c r="P421" s="437">
        <f t="shared" si="33"/>
        <v>-16535.677167810467</v>
      </c>
      <c r="Q421" s="443">
        <f t="shared" si="30"/>
        <v>0.02</v>
      </c>
      <c r="R421" s="437">
        <f t="shared" si="31"/>
        <v>1.0654499717039308E-168</v>
      </c>
      <c r="T421" s="439">
        <v>3.6399999999999899</v>
      </c>
    </row>
    <row r="422" spans="15:20" x14ac:dyDescent="0.3">
      <c r="O422" s="435">
        <f t="shared" si="32"/>
        <v>-395.20340371764678</v>
      </c>
      <c r="P422" s="437">
        <f t="shared" si="33"/>
        <v>-16581.104852337423</v>
      </c>
      <c r="Q422" s="443">
        <f t="shared" si="30"/>
        <v>0.02</v>
      </c>
      <c r="R422" s="437">
        <f t="shared" si="31"/>
        <v>3.6082874178156998E-169</v>
      </c>
      <c r="T422" s="439">
        <v>3.6499999999999901</v>
      </c>
    </row>
    <row r="423" spans="15:20" x14ac:dyDescent="0.3">
      <c r="O423" s="435">
        <f t="shared" si="32"/>
        <v>-396.28615276892799</v>
      </c>
      <c r="P423" s="437">
        <f t="shared" si="33"/>
        <v>-16626.532536864372</v>
      </c>
      <c r="Q423" s="443">
        <f t="shared" si="30"/>
        <v>0.02</v>
      </c>
      <c r="R423" s="437">
        <f t="shared" si="31"/>
        <v>1.2219943155797258E-169</v>
      </c>
      <c r="T423" s="439">
        <v>3.6599999999999899</v>
      </c>
    </row>
    <row r="424" spans="15:20" x14ac:dyDescent="0.3">
      <c r="O424" s="435">
        <f t="shared" si="32"/>
        <v>-397.36890182020812</v>
      </c>
      <c r="P424" s="437">
        <f t="shared" si="33"/>
        <v>-16671.96022139128</v>
      </c>
      <c r="Q424" s="443">
        <f t="shared" si="30"/>
        <v>0.02</v>
      </c>
      <c r="R424" s="437">
        <f t="shared" si="31"/>
        <v>4.1384455682156712E-170</v>
      </c>
      <c r="T424" s="439">
        <v>3.6699999999999799</v>
      </c>
    </row>
    <row r="425" spans="15:20" x14ac:dyDescent="0.3">
      <c r="O425" s="435">
        <f t="shared" si="32"/>
        <v>-398.45165087149041</v>
      </c>
      <c r="P425" s="437">
        <f t="shared" si="33"/>
        <v>-16717.387905918276</v>
      </c>
      <c r="Q425" s="443">
        <f t="shared" si="30"/>
        <v>0.02</v>
      </c>
      <c r="R425" s="437">
        <f t="shared" si="31"/>
        <v>1.4015393936527315E-170</v>
      </c>
      <c r="T425" s="439">
        <v>3.6799999999999899</v>
      </c>
    </row>
    <row r="426" spans="15:20" x14ac:dyDescent="0.3">
      <c r="O426" s="435">
        <f t="shared" si="32"/>
        <v>-399.5343999227706</v>
      </c>
      <c r="P426" s="437">
        <f t="shared" si="33"/>
        <v>-16762.815590445181</v>
      </c>
      <c r="Q426" s="443">
        <f t="shared" si="30"/>
        <v>0.02</v>
      </c>
      <c r="R426" s="437">
        <f t="shared" si="31"/>
        <v>4.7464987507653248E-171</v>
      </c>
      <c r="T426" s="439">
        <v>3.68999999999998</v>
      </c>
    </row>
    <row r="427" spans="15:20" x14ac:dyDescent="0.3">
      <c r="O427" s="435">
        <f t="shared" si="32"/>
        <v>-400.6171489740529</v>
      </c>
      <c r="P427" s="437">
        <f t="shared" si="33"/>
        <v>-16808.243274972181</v>
      </c>
      <c r="Q427" s="443">
        <f t="shared" si="30"/>
        <v>0.02</v>
      </c>
      <c r="R427" s="437">
        <f t="shared" si="31"/>
        <v>1.6074646558633671E-171</v>
      </c>
      <c r="T427" s="439">
        <v>3.69999999999999</v>
      </c>
    </row>
    <row r="428" spans="15:20" x14ac:dyDescent="0.3">
      <c r="O428" s="435">
        <f t="shared" si="32"/>
        <v>-401.69989802533303</v>
      </c>
      <c r="P428" s="437">
        <f t="shared" si="33"/>
        <v>-16853.670959499086</v>
      </c>
      <c r="Q428" s="443">
        <f t="shared" si="30"/>
        <v>0.02</v>
      </c>
      <c r="R428" s="437">
        <f t="shared" si="31"/>
        <v>5.4438919202051413E-172</v>
      </c>
      <c r="T428" s="439">
        <v>3.70999999999998</v>
      </c>
    </row>
    <row r="429" spans="15:20" x14ac:dyDescent="0.3">
      <c r="O429" s="435">
        <f t="shared" si="32"/>
        <v>-402.7826470766143</v>
      </c>
      <c r="P429" s="437">
        <f t="shared" si="33"/>
        <v>-16899.098644026039</v>
      </c>
      <c r="Q429" s="443">
        <f t="shared" si="30"/>
        <v>0.02</v>
      </c>
      <c r="R429" s="437">
        <f t="shared" si="31"/>
        <v>1.8436460876910351E-172</v>
      </c>
      <c r="T429" s="439">
        <v>3.7199999999999802</v>
      </c>
    </row>
    <row r="430" spans="15:20" x14ac:dyDescent="0.3">
      <c r="O430" s="435">
        <f t="shared" si="32"/>
        <v>-403.86539612789551</v>
      </c>
      <c r="P430" s="437">
        <f t="shared" si="33"/>
        <v>-16944.526328552991</v>
      </c>
      <c r="Q430" s="443">
        <f t="shared" si="30"/>
        <v>0.02</v>
      </c>
      <c r="R430" s="437">
        <f t="shared" si="31"/>
        <v>6.2437516146179631E-173</v>
      </c>
      <c r="T430" s="439">
        <v>3.72999999999998</v>
      </c>
    </row>
    <row r="431" spans="15:20" x14ac:dyDescent="0.3">
      <c r="O431" s="435">
        <f t="shared" si="32"/>
        <v>-404.94814517917672</v>
      </c>
      <c r="P431" s="437">
        <f t="shared" si="33"/>
        <v>-16989.954013079943</v>
      </c>
      <c r="Q431" s="443">
        <f t="shared" si="30"/>
        <v>0.02</v>
      </c>
      <c r="R431" s="437">
        <f t="shared" si="31"/>
        <v>2.1145291650778894E-173</v>
      </c>
      <c r="T431" s="439">
        <v>3.7399999999999798</v>
      </c>
    </row>
    <row r="432" spans="15:20" x14ac:dyDescent="0.3">
      <c r="O432" s="435">
        <f t="shared" si="32"/>
        <v>-406.03089423045793</v>
      </c>
      <c r="P432" s="437">
        <f t="shared" si="33"/>
        <v>-17035.381697606896</v>
      </c>
      <c r="Q432" s="443">
        <f t="shared" si="30"/>
        <v>0.02</v>
      </c>
      <c r="R432" s="437">
        <f t="shared" si="31"/>
        <v>7.1611330269719206E-174</v>
      </c>
      <c r="T432" s="439">
        <v>3.74999999999998</v>
      </c>
    </row>
    <row r="433" spans="15:20" x14ac:dyDescent="0.3">
      <c r="O433" s="435">
        <f t="shared" si="32"/>
        <v>-407.11364328173914</v>
      </c>
      <c r="P433" s="437">
        <f t="shared" si="33"/>
        <v>-17080.809382133844</v>
      </c>
      <c r="Q433" s="443">
        <f t="shared" si="30"/>
        <v>0.02</v>
      </c>
      <c r="R433" s="437">
        <f t="shared" si="31"/>
        <v>2.425212528487355E-174</v>
      </c>
      <c r="T433" s="439">
        <v>3.7599999999999798</v>
      </c>
    </row>
    <row r="434" spans="15:20" x14ac:dyDescent="0.3">
      <c r="O434" s="435">
        <f t="shared" si="32"/>
        <v>-408.19639233302041</v>
      </c>
      <c r="P434" s="437">
        <f t="shared" si="33"/>
        <v>-17126.2370666608</v>
      </c>
      <c r="Q434" s="443">
        <f t="shared" si="30"/>
        <v>0.02</v>
      </c>
      <c r="R434" s="437">
        <f t="shared" si="31"/>
        <v>8.2133033783604327E-175</v>
      </c>
      <c r="T434" s="439">
        <v>3.76999999999998</v>
      </c>
    </row>
    <row r="435" spans="15:20" x14ac:dyDescent="0.3">
      <c r="O435" s="435">
        <f t="shared" si="32"/>
        <v>-409.27914138430162</v>
      </c>
      <c r="P435" s="437">
        <f t="shared" si="33"/>
        <v>-17171.664751187749</v>
      </c>
      <c r="Q435" s="443">
        <f t="shared" si="30"/>
        <v>0.02</v>
      </c>
      <c r="R435" s="437">
        <f t="shared" si="31"/>
        <v>2.7815439509982084E-175</v>
      </c>
      <c r="T435" s="439">
        <v>3.7799999999999798</v>
      </c>
    </row>
    <row r="436" spans="15:20" x14ac:dyDescent="0.3">
      <c r="O436" s="435">
        <f t="shared" si="32"/>
        <v>-410.36189043558284</v>
      </c>
      <c r="P436" s="437">
        <f t="shared" si="33"/>
        <v>-17217.092435714701</v>
      </c>
      <c r="Q436" s="443">
        <f t="shared" si="30"/>
        <v>0.02</v>
      </c>
      <c r="R436" s="437">
        <f t="shared" si="31"/>
        <v>9.4200669266879186E-176</v>
      </c>
      <c r="T436" s="439">
        <v>3.7899999999999801</v>
      </c>
    </row>
    <row r="437" spans="15:20" x14ac:dyDescent="0.3">
      <c r="O437" s="435">
        <f t="shared" si="32"/>
        <v>-411.44463948686405</v>
      </c>
      <c r="P437" s="437">
        <f t="shared" si="33"/>
        <v>-17262.520120241654</v>
      </c>
      <c r="Q437" s="443">
        <f t="shared" si="30"/>
        <v>0.02</v>
      </c>
      <c r="R437" s="437">
        <f t="shared" si="31"/>
        <v>3.1902304068010282E-176</v>
      </c>
      <c r="T437" s="439">
        <v>3.7999999999999798</v>
      </c>
    </row>
    <row r="438" spans="15:20" x14ac:dyDescent="0.3">
      <c r="O438" s="435">
        <f t="shared" si="32"/>
        <v>-412.52738853814532</v>
      </c>
      <c r="P438" s="437">
        <f t="shared" si="33"/>
        <v>-17307.947804768606</v>
      </c>
      <c r="Q438" s="443">
        <f t="shared" si="30"/>
        <v>0.02</v>
      </c>
      <c r="R438" s="437">
        <f t="shared" si="31"/>
        <v>1.0804137728197327E-176</v>
      </c>
      <c r="T438" s="439">
        <v>3.8099999999999801</v>
      </c>
    </row>
    <row r="439" spans="15:20" x14ac:dyDescent="0.3">
      <c r="O439" s="435">
        <f t="shared" si="32"/>
        <v>-413.61013758942653</v>
      </c>
      <c r="P439" s="437">
        <f t="shared" si="33"/>
        <v>-17353.375489295559</v>
      </c>
      <c r="Q439" s="443">
        <f t="shared" si="30"/>
        <v>0.02</v>
      </c>
      <c r="R439" s="437">
        <f t="shared" si="31"/>
        <v>3.6589643118257637E-177</v>
      </c>
      <c r="T439" s="439">
        <v>3.8199999999999799</v>
      </c>
    </row>
    <row r="440" spans="15:20" x14ac:dyDescent="0.3">
      <c r="O440" s="435">
        <f t="shared" si="32"/>
        <v>-414.6928866407078</v>
      </c>
      <c r="P440" s="437">
        <f t="shared" si="33"/>
        <v>-17398.803173822511</v>
      </c>
      <c r="Q440" s="443">
        <f t="shared" si="30"/>
        <v>0.02</v>
      </c>
      <c r="R440" s="437">
        <f t="shared" si="31"/>
        <v>1.2391567168079428E-177</v>
      </c>
      <c r="T440" s="439">
        <v>3.8299999999999801</v>
      </c>
    </row>
    <row r="441" spans="15:20" x14ac:dyDescent="0.3">
      <c r="O441" s="435">
        <f t="shared" si="32"/>
        <v>-415.77563569198895</v>
      </c>
      <c r="P441" s="437">
        <f t="shared" si="33"/>
        <v>-17444.230858349463</v>
      </c>
      <c r="Q441" s="443">
        <f t="shared" si="30"/>
        <v>0.02</v>
      </c>
      <c r="R441" s="437">
        <f t="shared" si="31"/>
        <v>4.1965683126442422E-178</v>
      </c>
      <c r="T441" s="439">
        <v>3.8399999999999799</v>
      </c>
    </row>
    <row r="442" spans="15:20" x14ac:dyDescent="0.3">
      <c r="O442" s="435">
        <f t="shared" si="32"/>
        <v>-416.85838474327022</v>
      </c>
      <c r="P442" s="437">
        <f t="shared" si="33"/>
        <v>-17489.658542876416</v>
      </c>
      <c r="Q442" s="443">
        <f t="shared" ref="Q442:Q505" si="34">$S$57*(1+(EXP(O442)/(2*SQRT($Z$53^2-1)*(SQRT($Z$53^2-1)-$Z$53)))+(EXP(P442)/(2*SQRT($Z$53^2-1)*(SQRT($Z$53^2-1)+$Z$53))))</f>
        <v>0.02</v>
      </c>
      <c r="R442" s="437">
        <f t="shared" ref="R442:R505" si="35">$S$57*$Z$52^2/(2*SQRT($Z$53^2-1))*(EXP(O442)-EXP(P442))</f>
        <v>1.4212234307258572E-178</v>
      </c>
      <c r="T442" s="439">
        <v>3.8499999999999801</v>
      </c>
    </row>
    <row r="443" spans="15:20" x14ac:dyDescent="0.3">
      <c r="O443" s="435">
        <f t="shared" si="32"/>
        <v>-417.94113379455143</v>
      </c>
      <c r="P443" s="437">
        <f t="shared" si="33"/>
        <v>-17535.086227403364</v>
      </c>
      <c r="Q443" s="443">
        <f t="shared" si="34"/>
        <v>0.02</v>
      </c>
      <c r="R443" s="437">
        <f t="shared" si="35"/>
        <v>4.8131613489012266E-179</v>
      </c>
      <c r="T443" s="439">
        <v>3.8599999999999799</v>
      </c>
    </row>
    <row r="444" spans="15:20" x14ac:dyDescent="0.3">
      <c r="O444" s="435">
        <f t="shared" si="32"/>
        <v>-419.0238828458327</v>
      </c>
      <c r="P444" s="437">
        <f t="shared" si="33"/>
        <v>-17580.51391193032</v>
      </c>
      <c r="Q444" s="443">
        <f t="shared" si="34"/>
        <v>0.02</v>
      </c>
      <c r="R444" s="437">
        <f t="shared" si="35"/>
        <v>1.6300408274808404E-179</v>
      </c>
      <c r="T444" s="439">
        <v>3.8699999999999801</v>
      </c>
    </row>
    <row r="445" spans="15:20" x14ac:dyDescent="0.3">
      <c r="O445" s="435">
        <f t="shared" si="32"/>
        <v>-420.10663189711391</v>
      </c>
      <c r="P445" s="437">
        <f t="shared" si="33"/>
        <v>-17625.941596457269</v>
      </c>
      <c r="Q445" s="443">
        <f t="shared" si="34"/>
        <v>0.02</v>
      </c>
      <c r="R445" s="437">
        <f t="shared" si="35"/>
        <v>5.5203491149556748E-180</v>
      </c>
      <c r="T445" s="439">
        <v>3.8799999999999799</v>
      </c>
    </row>
    <row r="446" spans="15:20" x14ac:dyDescent="0.3">
      <c r="O446" s="435">
        <f t="shared" si="32"/>
        <v>-421.18938094839513</v>
      </c>
      <c r="P446" s="437">
        <f t="shared" si="33"/>
        <v>-17671.369280984221</v>
      </c>
      <c r="Q446" s="443">
        <f t="shared" si="34"/>
        <v>0.02</v>
      </c>
      <c r="R446" s="437">
        <f t="shared" si="35"/>
        <v>1.869539329152177E-180</v>
      </c>
      <c r="T446" s="439">
        <v>3.8899999999999801</v>
      </c>
    </row>
    <row r="447" spans="15:20" x14ac:dyDescent="0.3">
      <c r="O447" s="435">
        <f t="shared" si="32"/>
        <v>-422.27212999967634</v>
      </c>
      <c r="P447" s="437">
        <f t="shared" si="33"/>
        <v>-17716.796965511174</v>
      </c>
      <c r="Q447" s="443">
        <f t="shared" si="34"/>
        <v>0.02</v>
      </c>
      <c r="R447" s="437">
        <f t="shared" si="35"/>
        <v>6.3314425056518123E-181</v>
      </c>
      <c r="T447" s="439">
        <v>3.8999999999999799</v>
      </c>
    </row>
    <row r="448" spans="15:20" x14ac:dyDescent="0.3">
      <c r="O448" s="435">
        <f t="shared" si="32"/>
        <v>-423.35487905095761</v>
      </c>
      <c r="P448" s="437">
        <f t="shared" si="33"/>
        <v>-17762.224650038126</v>
      </c>
      <c r="Q448" s="443">
        <f t="shared" si="34"/>
        <v>0.02</v>
      </c>
      <c r="R448" s="437">
        <f t="shared" si="35"/>
        <v>2.1442268465436059E-181</v>
      </c>
      <c r="T448" s="439">
        <v>3.9099999999999802</v>
      </c>
    </row>
    <row r="449" spans="15:20" x14ac:dyDescent="0.3">
      <c r="O449" s="435">
        <f t="shared" si="32"/>
        <v>-424.43762810223882</v>
      </c>
      <c r="P449" s="437">
        <f t="shared" si="33"/>
        <v>-17807.652334565078</v>
      </c>
      <c r="Q449" s="443">
        <f t="shared" si="34"/>
        <v>0.02</v>
      </c>
      <c r="R449" s="437">
        <f t="shared" si="35"/>
        <v>7.2617081578714777E-182</v>
      </c>
      <c r="T449" s="439">
        <v>3.9199999999999799</v>
      </c>
    </row>
    <row r="450" spans="15:20" x14ac:dyDescent="0.3">
      <c r="O450" s="435">
        <f t="shared" si="32"/>
        <v>-425.52037715352003</v>
      </c>
      <c r="P450" s="437">
        <f t="shared" si="33"/>
        <v>-17853.080019092031</v>
      </c>
      <c r="Q450" s="443">
        <f t="shared" si="34"/>
        <v>0.02</v>
      </c>
      <c r="R450" s="437">
        <f t="shared" si="35"/>
        <v>2.4592736283989424E-182</v>
      </c>
      <c r="T450" s="439">
        <v>3.9299999999999802</v>
      </c>
    </row>
    <row r="451" spans="15:20" x14ac:dyDescent="0.3">
      <c r="O451" s="435">
        <f t="shared" si="32"/>
        <v>-426.60312620480124</v>
      </c>
      <c r="P451" s="437">
        <f t="shared" si="33"/>
        <v>-17898.507703618983</v>
      </c>
      <c r="Q451" s="443">
        <f t="shared" si="34"/>
        <v>0.02</v>
      </c>
      <c r="R451" s="437">
        <f t="shared" si="35"/>
        <v>8.3286558036384548E-183</v>
      </c>
      <c r="T451" s="439">
        <v>3.93999999999998</v>
      </c>
    </row>
    <row r="452" spans="15:20" x14ac:dyDescent="0.3">
      <c r="O452" s="435">
        <f t="shared" si="32"/>
        <v>-427.68587525608251</v>
      </c>
      <c r="P452" s="437">
        <f t="shared" si="33"/>
        <v>-17943.935388145936</v>
      </c>
      <c r="Q452" s="443">
        <f t="shared" si="34"/>
        <v>0.02</v>
      </c>
      <c r="R452" s="437">
        <f t="shared" si="35"/>
        <v>2.8206095773342699E-183</v>
      </c>
      <c r="T452" s="439">
        <v>3.9499999999999802</v>
      </c>
    </row>
    <row r="453" spans="15:20" x14ac:dyDescent="0.3">
      <c r="O453" s="435">
        <f t="shared" si="32"/>
        <v>-428.76862430736372</v>
      </c>
      <c r="P453" s="437">
        <f t="shared" si="33"/>
        <v>-17989.363072672884</v>
      </c>
      <c r="Q453" s="443">
        <f t="shared" si="34"/>
        <v>0.02</v>
      </c>
      <c r="R453" s="437">
        <f t="shared" si="35"/>
        <v>9.5523678434095889E-184</v>
      </c>
      <c r="T453" s="439">
        <v>3.95999999999998</v>
      </c>
    </row>
    <row r="454" spans="15:20" x14ac:dyDescent="0.3">
      <c r="O454" s="435">
        <f t="shared" si="32"/>
        <v>-429.85137335864499</v>
      </c>
      <c r="P454" s="437">
        <f t="shared" si="33"/>
        <v>-18034.79075719984</v>
      </c>
      <c r="Q454" s="443">
        <f t="shared" si="34"/>
        <v>0.02</v>
      </c>
      <c r="R454" s="437">
        <f t="shared" si="35"/>
        <v>3.2350358641991734E-184</v>
      </c>
      <c r="T454" s="439">
        <v>3.9699999999999802</v>
      </c>
    </row>
    <row r="455" spans="15:20" x14ac:dyDescent="0.3">
      <c r="O455" s="435">
        <f t="shared" si="32"/>
        <v>-430.93412240992615</v>
      </c>
      <c r="P455" s="437">
        <f t="shared" si="33"/>
        <v>-18080.218441726789</v>
      </c>
      <c r="Q455" s="443">
        <f t="shared" si="34"/>
        <v>0.02</v>
      </c>
      <c r="R455" s="437">
        <f t="shared" si="35"/>
        <v>1.0955877342889865E-184</v>
      </c>
      <c r="T455" s="439">
        <v>3.97999999999998</v>
      </c>
    </row>
    <row r="456" spans="15:20" x14ac:dyDescent="0.3">
      <c r="O456" s="435">
        <f t="shared" si="32"/>
        <v>-432.01687146120736</v>
      </c>
      <c r="P456" s="437">
        <f t="shared" si="33"/>
        <v>-18125.646126253741</v>
      </c>
      <c r="Q456" s="443">
        <f t="shared" si="34"/>
        <v>0.02</v>
      </c>
      <c r="R456" s="437">
        <f t="shared" si="35"/>
        <v>3.7103529417023679E-185</v>
      </c>
      <c r="T456" s="439">
        <v>3.9899999999999798</v>
      </c>
    </row>
    <row r="457" spans="15:20" x14ac:dyDescent="0.3">
      <c r="O457" s="435">
        <f t="shared" si="32"/>
        <v>-433.09962051248863</v>
      </c>
      <c r="P457" s="437">
        <f t="shared" si="33"/>
        <v>-18171.073810780694</v>
      </c>
      <c r="Q457" s="443">
        <f t="shared" si="34"/>
        <v>0.02</v>
      </c>
      <c r="R457" s="437">
        <f t="shared" si="35"/>
        <v>1.2565601568123568E-185</v>
      </c>
      <c r="T457" s="439">
        <v>3.99999999999998</v>
      </c>
    </row>
    <row r="458" spans="15:20" x14ac:dyDescent="0.3">
      <c r="O458" s="435">
        <f t="shared" si="32"/>
        <v>-434.1823695637699</v>
      </c>
      <c r="P458" s="437">
        <f t="shared" si="33"/>
        <v>-18216.501495307646</v>
      </c>
      <c r="Q458" s="443">
        <f t="shared" si="34"/>
        <v>0.02</v>
      </c>
      <c r="R458" s="437">
        <f t="shared" si="35"/>
        <v>4.2555073668109066E-186</v>
      </c>
      <c r="T458" s="439">
        <v>4.0099999999999802</v>
      </c>
    </row>
    <row r="459" spans="15:20" x14ac:dyDescent="0.3">
      <c r="O459" s="435">
        <f t="shared" si="32"/>
        <v>-435.26511861505105</v>
      </c>
      <c r="P459" s="437">
        <f t="shared" si="33"/>
        <v>-18261.929179834598</v>
      </c>
      <c r="Q459" s="443">
        <f t="shared" si="34"/>
        <v>0.02</v>
      </c>
      <c r="R459" s="437">
        <f t="shared" si="35"/>
        <v>1.4411839219002262E-186</v>
      </c>
      <c r="T459" s="439">
        <v>4.01999999999998</v>
      </c>
    </row>
    <row r="460" spans="15:20" x14ac:dyDescent="0.3">
      <c r="O460" s="435">
        <f t="shared" si="32"/>
        <v>-436.34786766633226</v>
      </c>
      <c r="P460" s="437">
        <f t="shared" si="33"/>
        <v>-18307.356864361547</v>
      </c>
      <c r="Q460" s="443">
        <f t="shared" si="34"/>
        <v>0.02</v>
      </c>
      <c r="R460" s="437">
        <f t="shared" si="35"/>
        <v>4.8807601954643515E-187</v>
      </c>
      <c r="T460" s="439">
        <v>4.0299999999999798</v>
      </c>
    </row>
    <row r="461" spans="15:20" x14ac:dyDescent="0.3">
      <c r="O461" s="435">
        <f t="shared" si="32"/>
        <v>-437.43061671761347</v>
      </c>
      <c r="P461" s="437">
        <f t="shared" si="33"/>
        <v>-18352.7845488885</v>
      </c>
      <c r="Q461" s="443">
        <f t="shared" si="34"/>
        <v>0.02</v>
      </c>
      <c r="R461" s="437">
        <f t="shared" si="35"/>
        <v>1.6529340720245988E-187</v>
      </c>
      <c r="T461" s="439">
        <v>4.0399999999999796</v>
      </c>
    </row>
    <row r="462" spans="15:20" x14ac:dyDescent="0.3">
      <c r="O462" s="435">
        <f t="shared" si="32"/>
        <v>-438.5133657688948</v>
      </c>
      <c r="P462" s="437">
        <f t="shared" si="33"/>
        <v>-18398.212233415456</v>
      </c>
      <c r="Q462" s="443">
        <f t="shared" si="34"/>
        <v>0.02</v>
      </c>
      <c r="R462" s="437">
        <f t="shared" si="35"/>
        <v>5.5978801191636335E-188</v>
      </c>
      <c r="T462" s="439">
        <v>4.0499999999999803</v>
      </c>
    </row>
    <row r="463" spans="15:20" x14ac:dyDescent="0.3">
      <c r="O463" s="435">
        <f t="shared" si="32"/>
        <v>-439.59611482017601</v>
      </c>
      <c r="P463" s="437">
        <f t="shared" si="33"/>
        <v>-18443.639917942404</v>
      </c>
      <c r="Q463" s="443">
        <f t="shared" si="34"/>
        <v>0.02</v>
      </c>
      <c r="R463" s="437">
        <f t="shared" si="35"/>
        <v>1.8957962304055329E-188</v>
      </c>
      <c r="T463" s="439">
        <v>4.0599999999999801</v>
      </c>
    </row>
    <row r="464" spans="15:20" x14ac:dyDescent="0.3">
      <c r="O464" s="435">
        <f t="shared" si="32"/>
        <v>-440.67886387145717</v>
      </c>
      <c r="P464" s="437">
        <f t="shared" si="33"/>
        <v>-18489.067602469357</v>
      </c>
      <c r="Q464" s="443">
        <f t="shared" si="34"/>
        <v>0.02</v>
      </c>
      <c r="R464" s="437">
        <f t="shared" si="35"/>
        <v>6.4203649787287882E-189</v>
      </c>
      <c r="T464" s="439">
        <v>4.0699999999999799</v>
      </c>
    </row>
    <row r="465" spans="15:20" x14ac:dyDescent="0.3">
      <c r="O465" s="435">
        <f t="shared" si="32"/>
        <v>-441.76161292273838</v>
      </c>
      <c r="P465" s="437">
        <f t="shared" si="33"/>
        <v>-18534.495286996309</v>
      </c>
      <c r="Q465" s="443">
        <f t="shared" si="34"/>
        <v>0.02</v>
      </c>
      <c r="R465" s="437">
        <f t="shared" si="35"/>
        <v>2.1743416195772843E-189</v>
      </c>
      <c r="T465" s="439">
        <v>4.0799999999999796</v>
      </c>
    </row>
    <row r="466" spans="15:20" x14ac:dyDescent="0.3">
      <c r="O466" s="435">
        <f t="shared" si="32"/>
        <v>-442.84436197401971</v>
      </c>
      <c r="P466" s="437">
        <f t="shared" si="33"/>
        <v>-18579.922971523261</v>
      </c>
      <c r="Q466" s="443">
        <f t="shared" si="34"/>
        <v>0.02</v>
      </c>
      <c r="R466" s="437">
        <f t="shared" si="35"/>
        <v>7.3636958245970488E-190</v>
      </c>
      <c r="T466" s="439">
        <v>4.0899999999999803</v>
      </c>
    </row>
    <row r="467" spans="15:20" x14ac:dyDescent="0.3">
      <c r="O467" s="435">
        <f t="shared" si="32"/>
        <v>-443.92711102530092</v>
      </c>
      <c r="P467" s="437">
        <f t="shared" si="33"/>
        <v>-18625.350656050214</v>
      </c>
      <c r="Q467" s="443">
        <f t="shared" si="34"/>
        <v>0.02</v>
      </c>
      <c r="R467" s="437">
        <f t="shared" si="35"/>
        <v>2.4938131022730422E-190</v>
      </c>
      <c r="T467" s="439">
        <v>4.0999999999999801</v>
      </c>
    </row>
    <row r="468" spans="15:20" x14ac:dyDescent="0.3">
      <c r="O468" s="435">
        <f t="shared" si="32"/>
        <v>-445.00986007658213</v>
      </c>
      <c r="P468" s="437">
        <f t="shared" si="33"/>
        <v>-18670.778340577166</v>
      </c>
      <c r="Q468" s="443">
        <f t="shared" si="34"/>
        <v>0.02</v>
      </c>
      <c r="R468" s="437">
        <f t="shared" si="35"/>
        <v>8.4456283056871275E-191</v>
      </c>
      <c r="T468" s="439">
        <v>4.1099999999999799</v>
      </c>
    </row>
    <row r="469" spans="15:20" x14ac:dyDescent="0.3">
      <c r="O469" s="435">
        <f t="shared" si="32"/>
        <v>-446.09260912786328</v>
      </c>
      <c r="P469" s="437">
        <f t="shared" si="33"/>
        <v>-18716.206025104115</v>
      </c>
      <c r="Q469" s="443">
        <f t="shared" si="34"/>
        <v>0.02</v>
      </c>
      <c r="R469" s="437">
        <f t="shared" si="35"/>
        <v>2.8602238641225188E-191</v>
      </c>
      <c r="T469" s="439">
        <v>4.1199999999999797</v>
      </c>
    </row>
    <row r="470" spans="15:20" x14ac:dyDescent="0.3">
      <c r="O470" s="435">
        <f t="shared" si="32"/>
        <v>-447.17535817914461</v>
      </c>
      <c r="P470" s="437">
        <f t="shared" si="33"/>
        <v>-18761.633709631071</v>
      </c>
      <c r="Q470" s="443">
        <f t="shared" si="34"/>
        <v>0.02</v>
      </c>
      <c r="R470" s="437">
        <f t="shared" si="35"/>
        <v>9.6865268714060095E-192</v>
      </c>
      <c r="T470" s="439">
        <v>4.1299999999999804</v>
      </c>
    </row>
    <row r="471" spans="15:20" x14ac:dyDescent="0.3">
      <c r="O471" s="435">
        <f t="shared" si="32"/>
        <v>-448.25810723042582</v>
      </c>
      <c r="P471" s="437">
        <f t="shared" si="33"/>
        <v>-18807.061394158023</v>
      </c>
      <c r="Q471" s="443">
        <f t="shared" si="34"/>
        <v>0.02</v>
      </c>
      <c r="R471" s="437">
        <f t="shared" si="35"/>
        <v>3.2804705955862966E-192</v>
      </c>
      <c r="T471" s="439">
        <v>4.1399999999999801</v>
      </c>
    </row>
    <row r="472" spans="15:20" x14ac:dyDescent="0.3">
      <c r="O472" s="435">
        <f t="shared" si="32"/>
        <v>-449.34085628170703</v>
      </c>
      <c r="P472" s="437">
        <f t="shared" si="33"/>
        <v>-18852.489078684972</v>
      </c>
      <c r="Q472" s="443">
        <f t="shared" si="34"/>
        <v>0.02</v>
      </c>
      <c r="R472" s="437">
        <f t="shared" si="35"/>
        <v>1.1109748077273716E-192</v>
      </c>
      <c r="T472" s="439">
        <v>4.1499999999999799</v>
      </c>
    </row>
    <row r="473" spans="15:20" x14ac:dyDescent="0.3">
      <c r="O473" s="435">
        <f t="shared" si="32"/>
        <v>-450.42360533298825</v>
      </c>
      <c r="P473" s="437">
        <f t="shared" si="33"/>
        <v>-18897.916763211924</v>
      </c>
      <c r="Q473" s="443">
        <f t="shared" si="34"/>
        <v>0.02</v>
      </c>
      <c r="R473" s="437">
        <f t="shared" si="35"/>
        <v>3.7624633034830741E-193</v>
      </c>
      <c r="T473" s="439">
        <v>4.1599999999999797</v>
      </c>
    </row>
    <row r="474" spans="15:20" x14ac:dyDescent="0.3">
      <c r="O474" s="435">
        <f t="shared" ref="O474:O537" si="36">-$Z$52*($Z$53-SQRT($Z$53^2-1))*T474</f>
        <v>-451.50635438426951</v>
      </c>
      <c r="P474" s="437">
        <f t="shared" ref="P474:P537" si="37">-$Z$52*($Z$53+SQRT($Z$53^2-1))*T474</f>
        <v>-18943.34444773888</v>
      </c>
      <c r="Q474" s="443">
        <f t="shared" si="34"/>
        <v>0.02</v>
      </c>
      <c r="R474" s="437">
        <f t="shared" si="35"/>
        <v>1.2742080208833875E-193</v>
      </c>
      <c r="T474" s="439">
        <v>4.1699999999999804</v>
      </c>
    </row>
    <row r="475" spans="15:20" x14ac:dyDescent="0.3">
      <c r="O475" s="435">
        <f t="shared" si="36"/>
        <v>-452.58910343555073</v>
      </c>
      <c r="P475" s="437">
        <f t="shared" si="37"/>
        <v>-18988.772132265829</v>
      </c>
      <c r="Q475" s="443">
        <f t="shared" si="34"/>
        <v>0.02</v>
      </c>
      <c r="R475" s="437">
        <f t="shared" si="35"/>
        <v>4.3152741954469284E-194</v>
      </c>
      <c r="T475" s="439">
        <v>4.1799999999999802</v>
      </c>
    </row>
    <row r="476" spans="15:20" x14ac:dyDescent="0.3">
      <c r="O476" s="435">
        <f t="shared" si="36"/>
        <v>-453.67185248683194</v>
      </c>
      <c r="P476" s="437">
        <f t="shared" si="37"/>
        <v>-19034.199816792781</v>
      </c>
      <c r="Q476" s="443">
        <f t="shared" si="34"/>
        <v>0.02</v>
      </c>
      <c r="R476" s="437">
        <f t="shared" si="35"/>
        <v>1.4614247498599243E-194</v>
      </c>
      <c r="T476" s="439">
        <v>4.18999999999998</v>
      </c>
    </row>
    <row r="477" spans="15:20" x14ac:dyDescent="0.3">
      <c r="O477" s="435">
        <f t="shared" si="36"/>
        <v>-454.75460153811315</v>
      </c>
      <c r="P477" s="437">
        <f t="shared" si="37"/>
        <v>-19079.627501319734</v>
      </c>
      <c r="Q477" s="443">
        <f t="shared" si="34"/>
        <v>0.02</v>
      </c>
      <c r="R477" s="437">
        <f t="shared" si="35"/>
        <v>4.9493084396736537E-195</v>
      </c>
      <c r="T477" s="439">
        <v>4.1999999999999797</v>
      </c>
    </row>
    <row r="478" spans="15:20" x14ac:dyDescent="0.3">
      <c r="O478" s="435">
        <f t="shared" si="36"/>
        <v>-455.83735058939442</v>
      </c>
      <c r="P478" s="437">
        <f t="shared" si="37"/>
        <v>-19125.055185846686</v>
      </c>
      <c r="Q478" s="443">
        <f t="shared" si="34"/>
        <v>0.02</v>
      </c>
      <c r="R478" s="437">
        <f t="shared" si="35"/>
        <v>1.6761488426531264E-195</v>
      </c>
      <c r="T478" s="439">
        <v>4.2099999999999804</v>
      </c>
    </row>
    <row r="479" spans="15:20" x14ac:dyDescent="0.3">
      <c r="O479" s="435">
        <f t="shared" si="36"/>
        <v>-456.92009964067563</v>
      </c>
      <c r="P479" s="437">
        <f t="shared" si="37"/>
        <v>-19170.482870373638</v>
      </c>
      <c r="Q479" s="443">
        <f t="shared" si="34"/>
        <v>0.02</v>
      </c>
      <c r="R479" s="437">
        <f t="shared" si="35"/>
        <v>5.6765000140359516E-196</v>
      </c>
      <c r="T479" s="439">
        <v>4.2199999999999802</v>
      </c>
    </row>
    <row r="480" spans="15:20" x14ac:dyDescent="0.3">
      <c r="O480" s="435">
        <f t="shared" si="36"/>
        <v>-458.00284869195684</v>
      </c>
      <c r="P480" s="437">
        <f t="shared" si="37"/>
        <v>-19215.910554900587</v>
      </c>
      <c r="Q480" s="443">
        <f t="shared" si="34"/>
        <v>0.02</v>
      </c>
      <c r="R480" s="437">
        <f t="shared" si="35"/>
        <v>1.9224218989016432E-196</v>
      </c>
      <c r="T480" s="439">
        <v>4.22999999999998</v>
      </c>
    </row>
    <row r="481" spans="15:20" x14ac:dyDescent="0.3">
      <c r="O481" s="435">
        <f t="shared" si="36"/>
        <v>-459.08559774323805</v>
      </c>
      <c r="P481" s="437">
        <f t="shared" si="37"/>
        <v>-19261.33823942754</v>
      </c>
      <c r="Q481" s="443">
        <f t="shared" si="34"/>
        <v>0.02</v>
      </c>
      <c r="R481" s="437">
        <f t="shared" si="35"/>
        <v>6.5105363309053886E-197</v>
      </c>
      <c r="T481" s="439">
        <v>4.2399999999999798</v>
      </c>
    </row>
    <row r="482" spans="15:20" x14ac:dyDescent="0.3">
      <c r="O482" s="435">
        <f t="shared" si="36"/>
        <v>-460.16834679451927</v>
      </c>
      <c r="P482" s="437">
        <f t="shared" si="37"/>
        <v>-19306.765923954492</v>
      </c>
      <c r="Q482" s="443">
        <f t="shared" si="34"/>
        <v>0.02</v>
      </c>
      <c r="R482" s="437">
        <f t="shared" si="35"/>
        <v>2.2048793420557908E-197</v>
      </c>
      <c r="T482" s="439">
        <v>4.2499999999999796</v>
      </c>
    </row>
    <row r="483" spans="15:20" x14ac:dyDescent="0.3">
      <c r="O483" s="435">
        <f t="shared" si="36"/>
        <v>-461.25109584580053</v>
      </c>
      <c r="P483" s="437">
        <f t="shared" si="37"/>
        <v>-19352.193608481444</v>
      </c>
      <c r="Q483" s="443">
        <f t="shared" si="34"/>
        <v>0.02</v>
      </c>
      <c r="R483" s="437">
        <f t="shared" si="35"/>
        <v>7.4671158656264452E-198</v>
      </c>
      <c r="T483" s="439">
        <v>4.2599999999999802</v>
      </c>
    </row>
    <row r="484" spans="15:20" x14ac:dyDescent="0.3">
      <c r="O484" s="435">
        <f t="shared" si="36"/>
        <v>-462.33384489708175</v>
      </c>
      <c r="P484" s="437">
        <f t="shared" si="37"/>
        <v>-19397.621293008397</v>
      </c>
      <c r="Q484" s="443">
        <f t="shared" si="34"/>
        <v>0.02</v>
      </c>
      <c r="R484" s="437">
        <f t="shared" si="35"/>
        <v>2.5288376686728683E-198</v>
      </c>
      <c r="T484" s="439">
        <v>4.26999999999998</v>
      </c>
    </row>
    <row r="485" spans="15:20" x14ac:dyDescent="0.3">
      <c r="O485" s="435">
        <f t="shared" si="36"/>
        <v>-463.41659394836296</v>
      </c>
      <c r="P485" s="437">
        <f t="shared" si="37"/>
        <v>-19443.048977535349</v>
      </c>
      <c r="Q485" s="443">
        <f t="shared" si="34"/>
        <v>0.02</v>
      </c>
      <c r="R485" s="437">
        <f t="shared" si="35"/>
        <v>8.5642436378109236E-199</v>
      </c>
      <c r="T485" s="439">
        <v>4.2799999999999798</v>
      </c>
    </row>
    <row r="486" spans="15:20" x14ac:dyDescent="0.3">
      <c r="O486" s="435">
        <f t="shared" si="36"/>
        <v>-464.49934299964417</v>
      </c>
      <c r="P486" s="437">
        <f t="shared" si="37"/>
        <v>-19488.476662062298</v>
      </c>
      <c r="Q486" s="443">
        <f t="shared" si="34"/>
        <v>0.02</v>
      </c>
      <c r="R486" s="437">
        <f t="shared" si="35"/>
        <v>2.9003945170698489E-199</v>
      </c>
      <c r="T486" s="439">
        <v>4.2899999999999796</v>
      </c>
    </row>
    <row r="487" spans="15:20" x14ac:dyDescent="0.3">
      <c r="O487" s="435">
        <f t="shared" si="36"/>
        <v>-465.58209205092544</v>
      </c>
      <c r="P487" s="437">
        <f t="shared" si="37"/>
        <v>-19533.904346589254</v>
      </c>
      <c r="Q487" s="443">
        <f t="shared" si="34"/>
        <v>0.02</v>
      </c>
      <c r="R487" s="437">
        <f t="shared" si="35"/>
        <v>9.8225701070767295E-200</v>
      </c>
      <c r="T487" s="439">
        <v>4.2999999999999803</v>
      </c>
    </row>
    <row r="488" spans="15:20" x14ac:dyDescent="0.3">
      <c r="O488" s="435">
        <f t="shared" si="36"/>
        <v>-466.66484110220665</v>
      </c>
      <c r="P488" s="437">
        <f t="shared" si="37"/>
        <v>-19579.332031116206</v>
      </c>
      <c r="Q488" s="443">
        <f t="shared" si="34"/>
        <v>0.02</v>
      </c>
      <c r="R488" s="437">
        <f t="shared" si="35"/>
        <v>3.3265434388531249E-200</v>
      </c>
      <c r="T488" s="439">
        <v>4.3099999999999801</v>
      </c>
    </row>
    <row r="489" spans="15:20" x14ac:dyDescent="0.3">
      <c r="O489" s="435">
        <f t="shared" si="36"/>
        <v>-467.74759015348786</v>
      </c>
      <c r="P489" s="437">
        <f t="shared" si="37"/>
        <v>-19624.759715643155</v>
      </c>
      <c r="Q489" s="443">
        <f t="shared" si="34"/>
        <v>0.02</v>
      </c>
      <c r="R489" s="437">
        <f t="shared" si="35"/>
        <v>1.1265779862038642E-200</v>
      </c>
      <c r="T489" s="439">
        <v>4.3199999999999799</v>
      </c>
    </row>
    <row r="490" spans="15:20" x14ac:dyDescent="0.3">
      <c r="O490" s="435">
        <f t="shared" si="36"/>
        <v>-468.83033920476907</v>
      </c>
      <c r="P490" s="437">
        <f t="shared" si="37"/>
        <v>-19670.187400170107</v>
      </c>
      <c r="Q490" s="443">
        <f t="shared" si="34"/>
        <v>0.02</v>
      </c>
      <c r="R490" s="437">
        <f t="shared" si="35"/>
        <v>3.8153055335923158E-201</v>
      </c>
      <c r="T490" s="439">
        <v>4.3299999999999796</v>
      </c>
    </row>
    <row r="491" spans="15:20" x14ac:dyDescent="0.3">
      <c r="O491" s="435">
        <f t="shared" si="36"/>
        <v>-469.9130882560504</v>
      </c>
      <c r="P491" s="437">
        <f t="shared" si="37"/>
        <v>-19715.615084697063</v>
      </c>
      <c r="Q491" s="443">
        <f t="shared" si="34"/>
        <v>0.02</v>
      </c>
      <c r="R491" s="437">
        <f t="shared" si="35"/>
        <v>1.2921037418553242E-201</v>
      </c>
      <c r="T491" s="439">
        <v>4.3399999999999803</v>
      </c>
    </row>
    <row r="492" spans="15:20" x14ac:dyDescent="0.3">
      <c r="O492" s="435">
        <f t="shared" si="36"/>
        <v>-470.99583730733156</v>
      </c>
      <c r="P492" s="437">
        <f t="shared" si="37"/>
        <v>-19761.042769224012</v>
      </c>
      <c r="Q492" s="443">
        <f t="shared" si="34"/>
        <v>0.02</v>
      </c>
      <c r="R492" s="437">
        <f t="shared" si="35"/>
        <v>4.3758804242994943E-202</v>
      </c>
      <c r="T492" s="439">
        <v>4.3499999999999801</v>
      </c>
    </row>
    <row r="493" spans="15:20" x14ac:dyDescent="0.3">
      <c r="O493" s="435">
        <f t="shared" si="36"/>
        <v>-472.07858635861277</v>
      </c>
      <c r="P493" s="437">
        <f t="shared" si="37"/>
        <v>-19806.470453750964</v>
      </c>
      <c r="Q493" s="443">
        <f t="shared" si="34"/>
        <v>0.02</v>
      </c>
      <c r="R493" s="437">
        <f t="shared" si="35"/>
        <v>1.4819498518185128E-202</v>
      </c>
      <c r="T493" s="439">
        <v>4.3599999999999799</v>
      </c>
    </row>
    <row r="494" spans="15:20" x14ac:dyDescent="0.3">
      <c r="O494" s="435">
        <f t="shared" si="36"/>
        <v>-473.16133540989398</v>
      </c>
      <c r="P494" s="437">
        <f t="shared" si="37"/>
        <v>-19851.898138277917</v>
      </c>
      <c r="Q494" s="443">
        <f t="shared" si="34"/>
        <v>0.02</v>
      </c>
      <c r="R494" s="437">
        <f t="shared" si="35"/>
        <v>5.01881941542423E-203</v>
      </c>
      <c r="T494" s="439">
        <v>4.3699999999999797</v>
      </c>
    </row>
    <row r="495" spans="15:20" x14ac:dyDescent="0.3">
      <c r="O495" s="435">
        <f t="shared" si="36"/>
        <v>-474.24408446117531</v>
      </c>
      <c r="P495" s="437">
        <f t="shared" si="37"/>
        <v>-19897.325822804869</v>
      </c>
      <c r="Q495" s="443">
        <f t="shared" si="34"/>
        <v>0.02</v>
      </c>
      <c r="R495" s="437">
        <f t="shared" si="35"/>
        <v>1.6996896550667538E-203</v>
      </c>
      <c r="T495" s="439">
        <v>4.3799999999999804</v>
      </c>
    </row>
    <row r="496" spans="15:20" x14ac:dyDescent="0.3">
      <c r="O496" s="435">
        <f t="shared" si="36"/>
        <v>-475.32683351245652</v>
      </c>
      <c r="P496" s="437">
        <f t="shared" si="37"/>
        <v>-19942.753507331821</v>
      </c>
      <c r="Q496" s="443">
        <f t="shared" si="34"/>
        <v>0.02</v>
      </c>
      <c r="R496" s="437">
        <f t="shared" si="35"/>
        <v>5.756224092587863E-204</v>
      </c>
      <c r="T496" s="439">
        <v>4.3899999999999801</v>
      </c>
    </row>
    <row r="497" spans="15:20" x14ac:dyDescent="0.3">
      <c r="O497" s="435">
        <f t="shared" si="36"/>
        <v>-476.40958256373767</v>
      </c>
      <c r="P497" s="437">
        <f t="shared" si="37"/>
        <v>-19988.181191858774</v>
      </c>
      <c r="Q497" s="443">
        <f t="shared" si="34"/>
        <v>0.02</v>
      </c>
      <c r="R497" s="437">
        <f t="shared" si="35"/>
        <v>1.9494215138227417E-204</v>
      </c>
      <c r="T497" s="439">
        <v>4.3999999999999799</v>
      </c>
    </row>
    <row r="498" spans="15:20" x14ac:dyDescent="0.3">
      <c r="O498" s="435">
        <f t="shared" si="36"/>
        <v>-477.49233161501888</v>
      </c>
      <c r="P498" s="437">
        <f t="shared" si="37"/>
        <v>-20033.608876385722</v>
      </c>
      <c r="Q498" s="443">
        <f t="shared" si="34"/>
        <v>0.02</v>
      </c>
      <c r="R498" s="437">
        <f t="shared" si="35"/>
        <v>6.6019741021691752E-205</v>
      </c>
      <c r="T498" s="439">
        <v>4.4099999999999797</v>
      </c>
    </row>
    <row r="499" spans="15:20" x14ac:dyDescent="0.3">
      <c r="O499" s="435">
        <f t="shared" si="36"/>
        <v>-478.57508066630021</v>
      </c>
      <c r="P499" s="437">
        <f t="shared" si="37"/>
        <v>-20079.036560912678</v>
      </c>
      <c r="Q499" s="443">
        <f t="shared" si="34"/>
        <v>0.02</v>
      </c>
      <c r="R499" s="437">
        <f t="shared" si="35"/>
        <v>2.2358459541280492E-205</v>
      </c>
      <c r="T499" s="439">
        <v>4.4199999999999804</v>
      </c>
    </row>
    <row r="500" spans="15:20" x14ac:dyDescent="0.3">
      <c r="O500" s="435">
        <f t="shared" si="36"/>
        <v>-479.65782971758142</v>
      </c>
      <c r="P500" s="437">
        <f t="shared" si="37"/>
        <v>-20124.464245439631</v>
      </c>
      <c r="Q500" s="443">
        <f t="shared" si="34"/>
        <v>0.02</v>
      </c>
      <c r="R500" s="437">
        <f t="shared" si="35"/>
        <v>7.5719883980593585E-206</v>
      </c>
      <c r="T500" s="439">
        <v>4.4299999999999802</v>
      </c>
    </row>
    <row r="501" spans="15:20" x14ac:dyDescent="0.3">
      <c r="O501" s="435">
        <f t="shared" si="36"/>
        <v>-480.74057876886258</v>
      </c>
      <c r="P501" s="437">
        <f t="shared" si="37"/>
        <v>-20169.891929966579</v>
      </c>
      <c r="Q501" s="443">
        <f t="shared" si="34"/>
        <v>0.02</v>
      </c>
      <c r="R501" s="437">
        <f t="shared" si="35"/>
        <v>2.5643541405207729E-206</v>
      </c>
      <c r="T501" s="439">
        <v>4.43999999999998</v>
      </c>
    </row>
    <row r="502" spans="15:20" x14ac:dyDescent="0.3">
      <c r="O502" s="435">
        <f t="shared" si="36"/>
        <v>-481.82332782014379</v>
      </c>
      <c r="P502" s="437">
        <f t="shared" si="37"/>
        <v>-20215.319614493532</v>
      </c>
      <c r="Q502" s="443">
        <f t="shared" si="34"/>
        <v>0.02</v>
      </c>
      <c r="R502" s="437">
        <f t="shared" si="35"/>
        <v>8.6845248728735652E-207</v>
      </c>
      <c r="T502" s="439">
        <v>4.4499999999999797</v>
      </c>
    </row>
    <row r="503" spans="15:20" x14ac:dyDescent="0.3">
      <c r="O503" s="435">
        <f t="shared" si="36"/>
        <v>-482.90607687142511</v>
      </c>
      <c r="P503" s="437">
        <f t="shared" si="37"/>
        <v>-20260.747299020484</v>
      </c>
      <c r="Q503" s="443">
        <f t="shared" si="34"/>
        <v>0.02</v>
      </c>
      <c r="R503" s="437">
        <f t="shared" si="35"/>
        <v>2.941129350107409E-207</v>
      </c>
      <c r="T503" s="439">
        <v>4.4599999999999804</v>
      </c>
    </row>
    <row r="504" spans="15:20" x14ac:dyDescent="0.3">
      <c r="O504" s="435">
        <f t="shared" si="36"/>
        <v>-483.98882592270633</v>
      </c>
      <c r="P504" s="437">
        <f t="shared" si="37"/>
        <v>-20306.174983547437</v>
      </c>
      <c r="Q504" s="443">
        <f t="shared" si="34"/>
        <v>0.02</v>
      </c>
      <c r="R504" s="437">
        <f t="shared" si="35"/>
        <v>9.9605240133326848E-208</v>
      </c>
      <c r="T504" s="439">
        <v>4.4699999999999802</v>
      </c>
    </row>
    <row r="505" spans="15:20" x14ac:dyDescent="0.3">
      <c r="O505" s="435">
        <f t="shared" si="36"/>
        <v>-485.07157497398754</v>
      </c>
      <c r="P505" s="437">
        <f t="shared" si="37"/>
        <v>-20351.602668074389</v>
      </c>
      <c r="Q505" s="443">
        <f t="shared" si="34"/>
        <v>0.02</v>
      </c>
      <c r="R505" s="437">
        <f t="shared" si="35"/>
        <v>3.3732633560150586E-208</v>
      </c>
      <c r="T505" s="439">
        <v>4.47999999999998</v>
      </c>
    </row>
    <row r="506" spans="15:20" x14ac:dyDescent="0.3">
      <c r="O506" s="435">
        <f t="shared" si="36"/>
        <v>-486.15432402526869</v>
      </c>
      <c r="P506" s="437">
        <f t="shared" si="37"/>
        <v>-20397.030352601338</v>
      </c>
      <c r="Q506" s="443">
        <f t="shared" ref="Q506:Q557" si="38">$S$57*(1+(EXP(O506)/(2*SQRT($Z$53^2-1)*(SQRT($Z$53^2-1)-$Z$53)))+(EXP(P506)/(2*SQRT($Z$53^2-1)*(SQRT($Z$53^2-1)+$Z$53))))</f>
        <v>0.02</v>
      </c>
      <c r="R506" s="437">
        <f t="shared" ref="R506:R557" si="39">$S$57*$Z$52^2/(2*SQRT($Z$53^2-1))*(EXP(O506)-EXP(P506))</f>
        <v>1.1424003048236579E-208</v>
      </c>
      <c r="T506" s="439">
        <v>4.4899999999999798</v>
      </c>
    </row>
    <row r="507" spans="15:20" x14ac:dyDescent="0.3">
      <c r="O507" s="435">
        <f t="shared" si="36"/>
        <v>-487.2370730765499</v>
      </c>
      <c r="P507" s="437">
        <f t="shared" si="37"/>
        <v>-20442.45803712829</v>
      </c>
      <c r="Q507" s="443">
        <f t="shared" si="38"/>
        <v>0.02</v>
      </c>
      <c r="R507" s="437">
        <f t="shared" si="39"/>
        <v>3.8688899108157453E-209</v>
      </c>
      <c r="T507" s="439">
        <v>4.4999999999999796</v>
      </c>
    </row>
    <row r="508" spans="15:20" x14ac:dyDescent="0.3">
      <c r="O508" s="435">
        <f t="shared" si="36"/>
        <v>-488.31982212783123</v>
      </c>
      <c r="P508" s="437">
        <f t="shared" si="37"/>
        <v>-20487.885721655246</v>
      </c>
      <c r="Q508" s="443">
        <f t="shared" si="38"/>
        <v>0.02</v>
      </c>
      <c r="R508" s="437">
        <f t="shared" si="39"/>
        <v>1.3102508007751875E-209</v>
      </c>
      <c r="T508" s="439">
        <v>4.5099999999999802</v>
      </c>
    </row>
    <row r="509" spans="15:20" x14ac:dyDescent="0.3">
      <c r="O509" s="435">
        <f t="shared" si="36"/>
        <v>-489.40257117911244</v>
      </c>
      <c r="P509" s="437">
        <f t="shared" si="37"/>
        <v>-20533.313406182195</v>
      </c>
      <c r="Q509" s="443">
        <f t="shared" si="38"/>
        <v>0.02</v>
      </c>
      <c r="R509" s="437">
        <f t="shared" si="39"/>
        <v>4.4373378423948015E-210</v>
      </c>
      <c r="T509" s="439">
        <v>4.51999999999998</v>
      </c>
    </row>
    <row r="510" spans="15:20" x14ac:dyDescent="0.3">
      <c r="O510" s="435">
        <f t="shared" si="36"/>
        <v>-490.48532023039365</v>
      </c>
      <c r="P510" s="437">
        <f t="shared" si="37"/>
        <v>-20578.741090709147</v>
      </c>
      <c r="Q510" s="443">
        <f t="shared" si="38"/>
        <v>0.02</v>
      </c>
      <c r="R510" s="437">
        <f t="shared" si="39"/>
        <v>1.502763220285744E-210</v>
      </c>
      <c r="T510" s="439">
        <v>4.5299999999999798</v>
      </c>
    </row>
    <row r="511" spans="15:20" x14ac:dyDescent="0.3">
      <c r="O511" s="435">
        <f t="shared" si="36"/>
        <v>-491.56806928167481</v>
      </c>
      <c r="P511" s="437">
        <f t="shared" si="37"/>
        <v>-20624.168775236099</v>
      </c>
      <c r="Q511" s="443">
        <f t="shared" si="38"/>
        <v>0.02</v>
      </c>
      <c r="R511" s="437">
        <f t="shared" si="39"/>
        <v>5.0893066438793397E-211</v>
      </c>
      <c r="T511" s="439">
        <v>4.5399999999999796</v>
      </c>
    </row>
    <row r="512" spans="15:20" x14ac:dyDescent="0.3">
      <c r="O512" s="435">
        <f t="shared" si="36"/>
        <v>-492.65081833295613</v>
      </c>
      <c r="P512" s="437">
        <f t="shared" si="37"/>
        <v>-20669.596459763052</v>
      </c>
      <c r="Q512" s="443">
        <f t="shared" si="38"/>
        <v>0.02</v>
      </c>
      <c r="R512" s="437">
        <f t="shared" si="39"/>
        <v>1.7235610883865654E-211</v>
      </c>
      <c r="T512" s="439">
        <v>4.5499999999999803</v>
      </c>
    </row>
    <row r="513" spans="15:20" x14ac:dyDescent="0.3">
      <c r="O513" s="435">
        <f t="shared" si="36"/>
        <v>-493.73356738423735</v>
      </c>
      <c r="P513" s="437">
        <f t="shared" si="37"/>
        <v>-20715.024144290004</v>
      </c>
      <c r="Q513" s="443">
        <f t="shared" si="38"/>
        <v>0.02</v>
      </c>
      <c r="R513" s="437">
        <f t="shared" si="39"/>
        <v>5.8370678626199322E-212</v>
      </c>
      <c r="T513" s="439">
        <v>4.5599999999999801</v>
      </c>
    </row>
    <row r="514" spans="15:20" x14ac:dyDescent="0.3">
      <c r="O514" s="435">
        <f t="shared" si="36"/>
        <v>-494.81631643551856</v>
      </c>
      <c r="P514" s="437">
        <f t="shared" si="37"/>
        <v>-20760.451828816957</v>
      </c>
      <c r="Q514" s="443">
        <f t="shared" si="38"/>
        <v>0.02</v>
      </c>
      <c r="R514" s="437">
        <f t="shared" si="39"/>
        <v>1.9768003270905126E-212</v>
      </c>
      <c r="T514" s="439">
        <v>4.5699999999999799</v>
      </c>
    </row>
    <row r="515" spans="15:20" x14ac:dyDescent="0.3">
      <c r="O515" s="435">
        <f t="shared" si="36"/>
        <v>-495.89906548679977</v>
      </c>
      <c r="P515" s="437">
        <f t="shared" si="37"/>
        <v>-20805.879513343905</v>
      </c>
      <c r="Q515" s="443">
        <f t="shared" si="38"/>
        <v>0.02</v>
      </c>
      <c r="R515" s="437">
        <f t="shared" si="39"/>
        <v>6.6946960788480399E-213</v>
      </c>
      <c r="T515" s="439">
        <v>4.5799999999999796</v>
      </c>
    </row>
    <row r="516" spans="15:20" x14ac:dyDescent="0.3">
      <c r="O516" s="435">
        <f t="shared" si="36"/>
        <v>-496.98181453808104</v>
      </c>
      <c r="P516" s="437">
        <f t="shared" si="37"/>
        <v>-20851.307197870861</v>
      </c>
      <c r="Q516" s="443">
        <f t="shared" si="38"/>
        <v>0.02</v>
      </c>
      <c r="R516" s="437">
        <f t="shared" si="39"/>
        <v>2.2672474793701631E-213</v>
      </c>
      <c r="T516" s="439">
        <v>4.5899999999999803</v>
      </c>
    </row>
    <row r="517" spans="15:20" x14ac:dyDescent="0.3">
      <c r="O517" s="435">
        <f t="shared" si="36"/>
        <v>-498.06456358936225</v>
      </c>
      <c r="P517" s="437">
        <f t="shared" si="37"/>
        <v>-20896.734882397814</v>
      </c>
      <c r="Q517" s="443">
        <f t="shared" si="38"/>
        <v>0.02</v>
      </c>
      <c r="R517" s="437">
        <f t="shared" si="39"/>
        <v>7.6783338215334834E-214</v>
      </c>
      <c r="T517" s="439">
        <v>4.5999999999999801</v>
      </c>
    </row>
    <row r="518" spans="15:20" x14ac:dyDescent="0.3">
      <c r="O518" s="435">
        <f t="shared" si="36"/>
        <v>-499.14731264064346</v>
      </c>
      <c r="P518" s="437">
        <f t="shared" si="37"/>
        <v>-20942.162566924762</v>
      </c>
      <c r="Q518" s="443">
        <f t="shared" si="38"/>
        <v>0.02</v>
      </c>
      <c r="R518" s="437">
        <f t="shared" si="39"/>
        <v>2.6003694264237565E-214</v>
      </c>
      <c r="T518" s="439">
        <v>4.6099999999999799</v>
      </c>
    </row>
    <row r="519" spans="15:20" x14ac:dyDescent="0.3">
      <c r="O519" s="435">
        <f t="shared" si="36"/>
        <v>-500.23006169192467</v>
      </c>
      <c r="P519" s="437">
        <f t="shared" si="37"/>
        <v>-20987.590251451715</v>
      </c>
      <c r="Q519" s="443">
        <f t="shared" si="38"/>
        <v>0.02</v>
      </c>
      <c r="R519" s="437">
        <f t="shared" si="39"/>
        <v>8.8064954077875133E-215</v>
      </c>
      <c r="T519" s="439">
        <v>4.6199999999999797</v>
      </c>
    </row>
    <row r="520" spans="15:20" x14ac:dyDescent="0.3">
      <c r="O520" s="435">
        <f t="shared" si="36"/>
        <v>-501.31281074320594</v>
      </c>
      <c r="P520" s="437">
        <f t="shared" si="37"/>
        <v>-21033.017935978671</v>
      </c>
      <c r="Q520" s="443">
        <f t="shared" si="38"/>
        <v>0.02</v>
      </c>
      <c r="R520" s="437">
        <f t="shared" si="39"/>
        <v>2.9824362869101001E-215</v>
      </c>
      <c r="T520" s="439">
        <v>4.6299999999999804</v>
      </c>
    </row>
    <row r="521" spans="15:20" x14ac:dyDescent="0.3">
      <c r="O521" s="435">
        <f t="shared" si="36"/>
        <v>-502.39555979448716</v>
      </c>
      <c r="P521" s="437">
        <f t="shared" si="37"/>
        <v>-21078.445620505619</v>
      </c>
      <c r="Q521" s="443">
        <f t="shared" si="38"/>
        <v>0.02</v>
      </c>
      <c r="R521" s="437">
        <f t="shared" si="39"/>
        <v>1.0100415424747621E-215</v>
      </c>
      <c r="T521" s="439">
        <v>4.6399999999999801</v>
      </c>
    </row>
    <row r="522" spans="15:20" x14ac:dyDescent="0.3">
      <c r="O522" s="435">
        <f t="shared" si="36"/>
        <v>-503.47830884576837</v>
      </c>
      <c r="P522" s="437">
        <f t="shared" si="37"/>
        <v>-21123.873305032572</v>
      </c>
      <c r="Q522" s="443">
        <f t="shared" si="38"/>
        <v>0.02</v>
      </c>
      <c r="R522" s="437">
        <f t="shared" si="39"/>
        <v>3.4206394349558428E-216</v>
      </c>
      <c r="T522" s="439">
        <v>4.6499999999999799</v>
      </c>
    </row>
    <row r="523" spans="15:20" x14ac:dyDescent="0.3">
      <c r="O523" s="435">
        <f t="shared" si="36"/>
        <v>-504.56105789704958</v>
      </c>
      <c r="P523" s="437">
        <f t="shared" si="37"/>
        <v>-21169.300989559521</v>
      </c>
      <c r="Q523" s="443">
        <f t="shared" si="38"/>
        <v>0.02</v>
      </c>
      <c r="R523" s="437">
        <f t="shared" si="39"/>
        <v>1.1584448413187318E-216</v>
      </c>
      <c r="T523" s="439">
        <v>4.6599999999999797</v>
      </c>
    </row>
    <row r="524" spans="15:20" x14ac:dyDescent="0.3">
      <c r="O524" s="435">
        <f t="shared" si="36"/>
        <v>-505.64380694833085</v>
      </c>
      <c r="P524" s="437">
        <f t="shared" si="37"/>
        <v>-21214.728674086477</v>
      </c>
      <c r="Q524" s="443">
        <f t="shared" si="38"/>
        <v>0.02</v>
      </c>
      <c r="R524" s="437">
        <f t="shared" si="39"/>
        <v>3.9232268583000453E-217</v>
      </c>
      <c r="T524" s="439">
        <v>4.6699999999999804</v>
      </c>
    </row>
    <row r="525" spans="15:20" x14ac:dyDescent="0.3">
      <c r="O525" s="435">
        <f t="shared" si="36"/>
        <v>-506.72655599961206</v>
      </c>
      <c r="P525" s="437">
        <f t="shared" si="37"/>
        <v>-21260.156358613429</v>
      </c>
      <c r="Q525" s="443">
        <f t="shared" si="38"/>
        <v>0.02</v>
      </c>
      <c r="R525" s="437">
        <f t="shared" si="39"/>
        <v>1.3286527275797056E-217</v>
      </c>
      <c r="T525" s="439">
        <v>4.6799999999999802</v>
      </c>
    </row>
    <row r="526" spans="15:20" x14ac:dyDescent="0.3">
      <c r="O526" s="435">
        <f t="shared" si="36"/>
        <v>-507.80930505089327</v>
      </c>
      <c r="P526" s="437">
        <f t="shared" si="37"/>
        <v>-21305.584043140378</v>
      </c>
      <c r="Q526" s="443">
        <f t="shared" si="38"/>
        <v>0.02</v>
      </c>
      <c r="R526" s="437">
        <f t="shared" si="39"/>
        <v>4.4996584043317661E-218</v>
      </c>
      <c r="T526" s="439">
        <v>4.68999999999998</v>
      </c>
    </row>
    <row r="527" spans="15:20" x14ac:dyDescent="0.3">
      <c r="O527" s="435">
        <f t="shared" si="36"/>
        <v>-508.89205410217448</v>
      </c>
      <c r="P527" s="437">
        <f t="shared" si="37"/>
        <v>-21351.01172766733</v>
      </c>
      <c r="Q527" s="443">
        <f t="shared" si="38"/>
        <v>0.02</v>
      </c>
      <c r="R527" s="437">
        <f t="shared" si="39"/>
        <v>1.5238689038448452E-218</v>
      </c>
      <c r="T527" s="439">
        <v>4.6999999999999797</v>
      </c>
    </row>
    <row r="528" spans="15:20" x14ac:dyDescent="0.3">
      <c r="O528" s="435">
        <f t="shared" si="36"/>
        <v>-509.97480315345581</v>
      </c>
      <c r="P528" s="437">
        <f t="shared" si="37"/>
        <v>-21396.439412194286</v>
      </c>
      <c r="Q528" s="443">
        <f t="shared" si="38"/>
        <v>0.02</v>
      </c>
      <c r="R528" s="437">
        <f t="shared" si="39"/>
        <v>5.1607838361007467E-219</v>
      </c>
      <c r="T528" s="439">
        <v>4.7099999999999804</v>
      </c>
    </row>
    <row r="529" spans="15:20" x14ac:dyDescent="0.3">
      <c r="O529" s="435">
        <f t="shared" si="36"/>
        <v>-511.05755220473696</v>
      </c>
      <c r="P529" s="437">
        <f t="shared" si="37"/>
        <v>-21441.867096721235</v>
      </c>
      <c r="Q529" s="443">
        <f t="shared" si="38"/>
        <v>0.02</v>
      </c>
      <c r="R529" s="437">
        <f t="shared" si="39"/>
        <v>1.7477677860453952E-219</v>
      </c>
      <c r="T529" s="439">
        <v>4.7199999999999802</v>
      </c>
    </row>
    <row r="530" spans="15:20" x14ac:dyDescent="0.3">
      <c r="O530" s="435">
        <f t="shared" si="36"/>
        <v>-512.14030125601823</v>
      </c>
      <c r="P530" s="437">
        <f t="shared" si="37"/>
        <v>-21487.294781248187</v>
      </c>
      <c r="Q530" s="443">
        <f t="shared" si="38"/>
        <v>0.02</v>
      </c>
      <c r="R530" s="437">
        <f t="shared" si="39"/>
        <v>5.919047049732007E-220</v>
      </c>
      <c r="T530" s="439">
        <v>4.72999999999998</v>
      </c>
    </row>
    <row r="531" spans="15:20" x14ac:dyDescent="0.3">
      <c r="O531" s="435">
        <f t="shared" si="36"/>
        <v>-513.22305030729945</v>
      </c>
      <c r="P531" s="437">
        <f t="shared" si="37"/>
        <v>-21532.722465775139</v>
      </c>
      <c r="Q531" s="443">
        <f t="shared" si="38"/>
        <v>0.02</v>
      </c>
      <c r="R531" s="437">
        <f t="shared" si="39"/>
        <v>2.0045636643879184E-220</v>
      </c>
      <c r="T531" s="439">
        <v>4.7399999999999798</v>
      </c>
    </row>
    <row r="532" spans="15:20" x14ac:dyDescent="0.3">
      <c r="O532" s="435">
        <f t="shared" si="36"/>
        <v>-514.30579935858054</v>
      </c>
      <c r="P532" s="437">
        <f t="shared" si="37"/>
        <v>-21578.150150302088</v>
      </c>
      <c r="Q532" s="443">
        <f t="shared" si="38"/>
        <v>0.02</v>
      </c>
      <c r="R532" s="437">
        <f t="shared" si="39"/>
        <v>6.7887202970733403E-221</v>
      </c>
      <c r="T532" s="439">
        <v>4.7499999999999796</v>
      </c>
    </row>
    <row r="533" spans="15:20" x14ac:dyDescent="0.3">
      <c r="O533" s="435">
        <f t="shared" si="36"/>
        <v>-515.38854840986187</v>
      </c>
      <c r="P533" s="437">
        <f t="shared" si="37"/>
        <v>-21623.577834829044</v>
      </c>
      <c r="Q533" s="443">
        <f t="shared" si="38"/>
        <v>0.02</v>
      </c>
      <c r="R533" s="437">
        <f t="shared" si="39"/>
        <v>2.2990900259562166E-221</v>
      </c>
      <c r="T533" s="439">
        <v>4.7599999999999802</v>
      </c>
    </row>
    <row r="534" spans="15:20" x14ac:dyDescent="0.3">
      <c r="O534" s="435">
        <f t="shared" si="36"/>
        <v>-516.47129746114308</v>
      </c>
      <c r="P534" s="437">
        <f t="shared" si="37"/>
        <v>-21669.005519355997</v>
      </c>
      <c r="Q534" s="443">
        <f t="shared" si="38"/>
        <v>0.02</v>
      </c>
      <c r="R534" s="437">
        <f t="shared" si="39"/>
        <v>7.7861728221896311E-222</v>
      </c>
      <c r="T534" s="439">
        <v>4.76999999999998</v>
      </c>
    </row>
    <row r="535" spans="15:20" x14ac:dyDescent="0.3">
      <c r="O535" s="435">
        <f t="shared" si="36"/>
        <v>-517.55404651242429</v>
      </c>
      <c r="P535" s="437">
        <f t="shared" si="37"/>
        <v>-21714.433203882945</v>
      </c>
      <c r="Q535" s="443">
        <f t="shared" si="38"/>
        <v>0.02</v>
      </c>
      <c r="R535" s="437">
        <f t="shared" si="39"/>
        <v>2.6368905320177739E-222</v>
      </c>
      <c r="T535" s="439">
        <v>4.7799999999999798</v>
      </c>
    </row>
    <row r="536" spans="15:20" x14ac:dyDescent="0.3">
      <c r="O536" s="435">
        <f t="shared" si="36"/>
        <v>-518.6367955637055</v>
      </c>
      <c r="P536" s="437">
        <f t="shared" si="37"/>
        <v>-21759.860888409898</v>
      </c>
      <c r="Q536" s="443">
        <f t="shared" si="38"/>
        <v>0.02</v>
      </c>
      <c r="R536" s="437">
        <f t="shared" si="39"/>
        <v>8.930178968066621E-223</v>
      </c>
      <c r="T536" s="439">
        <v>4.7899999999999796</v>
      </c>
    </row>
    <row r="537" spans="15:20" x14ac:dyDescent="0.3">
      <c r="O537" s="435">
        <f t="shared" si="36"/>
        <v>-519.71954461498683</v>
      </c>
      <c r="P537" s="437">
        <f t="shared" si="37"/>
        <v>-21805.288572936854</v>
      </c>
      <c r="Q537" s="443">
        <f t="shared" si="38"/>
        <v>0.02</v>
      </c>
      <c r="R537" s="437">
        <f t="shared" si="39"/>
        <v>3.0243233624365277E-223</v>
      </c>
      <c r="T537" s="439">
        <v>4.7999999999999803</v>
      </c>
    </row>
    <row r="538" spans="15:20" x14ac:dyDescent="0.3">
      <c r="O538" s="435">
        <f t="shared" ref="O538:O557" si="40">-$Z$52*($Z$53-SQRT($Z$53^2-1))*T538</f>
        <v>-520.80229366626804</v>
      </c>
      <c r="P538" s="437">
        <f t="shared" ref="P538:P557" si="41">-$Z$52*($Z$53+SQRT($Z$53^2-1))*T538</f>
        <v>-21850.716257463802</v>
      </c>
      <c r="Q538" s="443">
        <f t="shared" si="38"/>
        <v>0.02</v>
      </c>
      <c r="R538" s="437">
        <f t="shared" si="39"/>
        <v>1.0242271552773417E-223</v>
      </c>
      <c r="T538" s="439">
        <v>4.8099999999999801</v>
      </c>
    </row>
    <row r="539" spans="15:20" x14ac:dyDescent="0.3">
      <c r="O539" s="435">
        <f t="shared" si="40"/>
        <v>-521.88504271754925</v>
      </c>
      <c r="P539" s="437">
        <f t="shared" si="41"/>
        <v>-21896.143941990755</v>
      </c>
      <c r="Q539" s="443">
        <f t="shared" si="38"/>
        <v>0.02</v>
      </c>
      <c r="R539" s="437">
        <f t="shared" si="39"/>
        <v>3.4686808911939966E-224</v>
      </c>
      <c r="T539" s="439">
        <v>4.8199999999999799</v>
      </c>
    </row>
    <row r="540" spans="15:20" x14ac:dyDescent="0.3">
      <c r="O540" s="435">
        <f t="shared" si="40"/>
        <v>-522.96779176883047</v>
      </c>
      <c r="P540" s="437">
        <f t="shared" si="41"/>
        <v>-21941.571626517703</v>
      </c>
      <c r="Q540" s="443">
        <f t="shared" si="38"/>
        <v>0.02</v>
      </c>
      <c r="R540" s="437">
        <f t="shared" si="39"/>
        <v>1.1747147166466608E-224</v>
      </c>
      <c r="T540" s="439">
        <v>4.8299999999999796</v>
      </c>
    </row>
    <row r="541" spans="15:20" x14ac:dyDescent="0.3">
      <c r="O541" s="435">
        <f t="shared" si="40"/>
        <v>-524.05054082011168</v>
      </c>
      <c r="P541" s="437">
        <f t="shared" si="41"/>
        <v>-21986.999311044659</v>
      </c>
      <c r="Q541" s="443">
        <f t="shared" si="38"/>
        <v>0.02</v>
      </c>
      <c r="R541" s="437">
        <f t="shared" si="39"/>
        <v>3.9783269455819948E-225</v>
      </c>
      <c r="T541" s="439">
        <v>4.8399999999999803</v>
      </c>
    </row>
    <row r="542" spans="15:20" x14ac:dyDescent="0.3">
      <c r="O542" s="435">
        <f t="shared" si="40"/>
        <v>-525.13328987139289</v>
      </c>
      <c r="P542" s="437">
        <f t="shared" si="41"/>
        <v>-22032.426995571612</v>
      </c>
      <c r="Q542" s="443">
        <f t="shared" si="38"/>
        <v>0.02</v>
      </c>
      <c r="R542" s="437">
        <f t="shared" si="39"/>
        <v>1.3473131017821709E-225</v>
      </c>
      <c r="T542" s="439">
        <v>4.8499999999999801</v>
      </c>
    </row>
    <row r="543" spans="15:20" x14ac:dyDescent="0.3">
      <c r="O543" s="435">
        <f t="shared" si="40"/>
        <v>-526.2160389226741</v>
      </c>
      <c r="P543" s="437">
        <f t="shared" si="41"/>
        <v>-22077.85468009856</v>
      </c>
      <c r="Q543" s="443">
        <f t="shared" si="38"/>
        <v>0.02</v>
      </c>
      <c r="R543" s="437">
        <f t="shared" si="39"/>
        <v>4.5628542326059086E-226</v>
      </c>
      <c r="T543" s="439">
        <v>4.8599999999999799</v>
      </c>
    </row>
    <row r="544" spans="15:20" x14ac:dyDescent="0.3">
      <c r="O544" s="435">
        <f t="shared" si="40"/>
        <v>-527.29878797395531</v>
      </c>
      <c r="P544" s="437">
        <f t="shared" si="41"/>
        <v>-22123.282364625513</v>
      </c>
      <c r="Q544" s="443">
        <f t="shared" si="38"/>
        <v>0.02</v>
      </c>
      <c r="R544" s="437">
        <f t="shared" si="39"/>
        <v>1.5452710079394528E-226</v>
      </c>
      <c r="T544" s="439">
        <v>4.8699999999999797</v>
      </c>
    </row>
    <row r="545" spans="15:20" x14ac:dyDescent="0.3">
      <c r="O545" s="435">
        <f t="shared" si="40"/>
        <v>-528.38153702523664</v>
      </c>
      <c r="P545" s="437">
        <f t="shared" si="41"/>
        <v>-22168.710049152469</v>
      </c>
      <c r="Q545" s="443">
        <f t="shared" si="38"/>
        <v>0.02</v>
      </c>
      <c r="R545" s="437">
        <f t="shared" si="39"/>
        <v>5.2332648957190118E-227</v>
      </c>
      <c r="T545" s="439">
        <v>4.8799999999999804</v>
      </c>
    </row>
    <row r="546" spans="15:20" x14ac:dyDescent="0.3">
      <c r="O546" s="435">
        <f t="shared" si="40"/>
        <v>-529.46428607651785</v>
      </c>
      <c r="P546" s="437">
        <f t="shared" si="41"/>
        <v>-22214.137733679418</v>
      </c>
      <c r="Q546" s="443">
        <f t="shared" si="38"/>
        <v>0.02</v>
      </c>
      <c r="R546" s="437">
        <f t="shared" si="39"/>
        <v>1.7723144566911536E-227</v>
      </c>
      <c r="T546" s="439">
        <v>4.8899999999999801</v>
      </c>
    </row>
    <row r="547" spans="15:20" x14ac:dyDescent="0.3">
      <c r="O547" s="435">
        <f t="shared" si="40"/>
        <v>-530.54703512779906</v>
      </c>
      <c r="P547" s="437">
        <f t="shared" si="41"/>
        <v>-22259.56541820637</v>
      </c>
      <c r="Q547" s="443">
        <f t="shared" si="38"/>
        <v>0.02</v>
      </c>
      <c r="R547" s="437">
        <f t="shared" si="39"/>
        <v>6.0021776003847705E-228</v>
      </c>
      <c r="T547" s="439">
        <v>4.8999999999999799</v>
      </c>
    </row>
    <row r="548" spans="15:20" x14ac:dyDescent="0.3">
      <c r="O548" s="435">
        <f t="shared" si="40"/>
        <v>-531.62978417908027</v>
      </c>
      <c r="P548" s="437">
        <f t="shared" si="41"/>
        <v>-22304.993102733322</v>
      </c>
      <c r="Q548" s="443">
        <f t="shared" si="38"/>
        <v>0.02</v>
      </c>
      <c r="R548" s="437">
        <f t="shared" si="39"/>
        <v>2.0327169261949239E-228</v>
      </c>
      <c r="T548" s="439">
        <v>4.9099999999999797</v>
      </c>
    </row>
    <row r="549" spans="15:20" x14ac:dyDescent="0.3">
      <c r="O549" s="435">
        <f t="shared" si="40"/>
        <v>-532.7125332303616</v>
      </c>
      <c r="P549" s="437">
        <f t="shared" si="41"/>
        <v>-22350.420787260275</v>
      </c>
      <c r="Q549" s="443">
        <f t="shared" si="38"/>
        <v>0.02</v>
      </c>
      <c r="R549" s="437">
        <f t="shared" si="39"/>
        <v>6.8840650462825216E-229</v>
      </c>
      <c r="T549" s="439">
        <v>4.9199999999999804</v>
      </c>
    </row>
    <row r="550" spans="15:20" x14ac:dyDescent="0.3">
      <c r="O550" s="435">
        <f t="shared" si="40"/>
        <v>-533.7952822816427</v>
      </c>
      <c r="P550" s="437">
        <f t="shared" si="41"/>
        <v>-22395.848471787227</v>
      </c>
      <c r="Q550" s="443">
        <f t="shared" si="38"/>
        <v>0.02</v>
      </c>
      <c r="R550" s="437">
        <f t="shared" si="39"/>
        <v>2.3313797878473083E-229</v>
      </c>
      <c r="T550" s="439">
        <v>4.9299999999999802</v>
      </c>
    </row>
    <row r="551" spans="15:20" x14ac:dyDescent="0.3">
      <c r="O551" s="435">
        <f t="shared" si="40"/>
        <v>-534.87803133292391</v>
      </c>
      <c r="P551" s="437">
        <f t="shared" si="41"/>
        <v>-22441.276156314179</v>
      </c>
      <c r="Q551" s="443">
        <f t="shared" si="38"/>
        <v>0.02</v>
      </c>
      <c r="R551" s="437">
        <f t="shared" si="39"/>
        <v>7.8955263766972808E-230</v>
      </c>
      <c r="T551" s="439">
        <v>4.93999999999998</v>
      </c>
    </row>
    <row r="552" spans="15:20" x14ac:dyDescent="0.3">
      <c r="O552" s="435">
        <f t="shared" si="40"/>
        <v>-535.96078038420512</v>
      </c>
      <c r="P552" s="437">
        <f t="shared" si="41"/>
        <v>-22486.703840841128</v>
      </c>
      <c r="Q552" s="443">
        <f t="shared" si="38"/>
        <v>0.02</v>
      </c>
      <c r="R552" s="437">
        <f t="shared" si="39"/>
        <v>2.6739245613295736E-230</v>
      </c>
      <c r="T552" s="439">
        <v>4.9499999999999797</v>
      </c>
    </row>
    <row r="553" spans="15:20" x14ac:dyDescent="0.3">
      <c r="O553" s="435">
        <f t="shared" si="40"/>
        <v>-537.04352943548645</v>
      </c>
      <c r="P553" s="437">
        <f t="shared" si="41"/>
        <v>-22532.131525368084</v>
      </c>
      <c r="Q553" s="443">
        <f t="shared" si="38"/>
        <v>0.02</v>
      </c>
      <c r="R553" s="437">
        <f t="shared" si="39"/>
        <v>9.0555996124371761E-231</v>
      </c>
      <c r="T553" s="439">
        <v>4.9599999999999804</v>
      </c>
    </row>
    <row r="554" spans="15:20" x14ac:dyDescent="0.3">
      <c r="O554" s="435">
        <f t="shared" si="40"/>
        <v>-538.12627848676766</v>
      </c>
      <c r="P554" s="437">
        <f t="shared" si="41"/>
        <v>-22577.559209895036</v>
      </c>
      <c r="Q554" s="443">
        <f t="shared" si="38"/>
        <v>0.02</v>
      </c>
      <c r="R554" s="437">
        <f t="shared" si="39"/>
        <v>3.0667987244937948E-231</v>
      </c>
      <c r="T554" s="439">
        <v>4.9699999999999802</v>
      </c>
    </row>
    <row r="555" spans="15:20" x14ac:dyDescent="0.3">
      <c r="O555" s="435">
        <f t="shared" si="40"/>
        <v>-539.20902753804887</v>
      </c>
      <c r="P555" s="437">
        <f t="shared" si="41"/>
        <v>-22622.986894421985</v>
      </c>
      <c r="Q555" s="443">
        <f t="shared" si="38"/>
        <v>0.02</v>
      </c>
      <c r="R555" s="437">
        <f t="shared" si="39"/>
        <v>1.0386119991037772E-231</v>
      </c>
      <c r="T555" s="439">
        <v>4.97999999999998</v>
      </c>
    </row>
    <row r="556" spans="15:20" x14ac:dyDescent="0.3">
      <c r="O556" s="435">
        <f t="shared" si="40"/>
        <v>-540.29177658933008</v>
      </c>
      <c r="P556" s="437">
        <f t="shared" si="41"/>
        <v>-22668.414578948938</v>
      </c>
      <c r="Q556" s="443">
        <f t="shared" si="38"/>
        <v>0.02</v>
      </c>
      <c r="R556" s="437">
        <f t="shared" si="39"/>
        <v>3.5173970696769383E-232</v>
      </c>
      <c r="T556" s="439">
        <v>4.9899999999999798</v>
      </c>
    </row>
    <row r="557" spans="15:20" x14ac:dyDescent="0.3">
      <c r="O557" s="435">
        <f t="shared" si="40"/>
        <v>-541.3745256406113</v>
      </c>
      <c r="P557" s="437">
        <f t="shared" si="41"/>
        <v>-22713.842263475886</v>
      </c>
      <c r="Q557" s="443">
        <f t="shared" si="38"/>
        <v>0.02</v>
      </c>
      <c r="R557" s="437">
        <f t="shared" si="39"/>
        <v>1.1912130955975703E-232</v>
      </c>
      <c r="T557" s="439">
        <v>4.9999999999999796</v>
      </c>
    </row>
  </sheetData>
  <mergeCells count="163">
    <mergeCell ref="AI1:AM2"/>
    <mergeCell ref="A7:B7"/>
    <mergeCell ref="W25:AA25"/>
    <mergeCell ref="AS10:AY10"/>
    <mergeCell ref="AW11:AY11"/>
    <mergeCell ref="AQ1:AT2"/>
    <mergeCell ref="D20:G20"/>
    <mergeCell ref="S5:S6"/>
    <mergeCell ref="O19:P19"/>
    <mergeCell ref="O16:S17"/>
    <mergeCell ref="O20:P20"/>
    <mergeCell ref="O22:O24"/>
    <mergeCell ref="I20:I21"/>
    <mergeCell ref="I22:I23"/>
    <mergeCell ref="I24:I25"/>
    <mergeCell ref="J18:J19"/>
    <mergeCell ref="J20:J21"/>
    <mergeCell ref="J22:J23"/>
    <mergeCell ref="J24:J25"/>
    <mergeCell ref="A4:B4"/>
    <mergeCell ref="A5:B5"/>
    <mergeCell ref="A6:B6"/>
    <mergeCell ref="D25:D26"/>
    <mergeCell ref="E25:E26"/>
    <mergeCell ref="D37:D42"/>
    <mergeCell ref="I38:J39"/>
    <mergeCell ref="K38:K39"/>
    <mergeCell ref="K32:K33"/>
    <mergeCell ref="D35:G36"/>
    <mergeCell ref="D33:D34"/>
    <mergeCell ref="E33:E34"/>
    <mergeCell ref="D32:G32"/>
    <mergeCell ref="I36:J37"/>
    <mergeCell ref="E37:E38"/>
    <mergeCell ref="E39:E40"/>
    <mergeCell ref="D1:G2"/>
    <mergeCell ref="I1:M2"/>
    <mergeCell ref="I3:J3"/>
    <mergeCell ref="K12:K13"/>
    <mergeCell ref="K10:K11"/>
    <mergeCell ref="M10:M11"/>
    <mergeCell ref="I90:J90"/>
    <mergeCell ref="I89:M89"/>
    <mergeCell ref="K36:K37"/>
    <mergeCell ref="L36:L37"/>
    <mergeCell ref="I34:J35"/>
    <mergeCell ref="I6:J7"/>
    <mergeCell ref="D14:E18"/>
    <mergeCell ref="F14:F18"/>
    <mergeCell ref="G14:G18"/>
    <mergeCell ref="D21:G21"/>
    <mergeCell ref="D8:D10"/>
    <mergeCell ref="E8:E10"/>
    <mergeCell ref="I12:J13"/>
    <mergeCell ref="I8:J8"/>
    <mergeCell ref="I9:J9"/>
    <mergeCell ref="I15:L15"/>
    <mergeCell ref="I10:J11"/>
    <mergeCell ref="E41:E42"/>
    <mergeCell ref="R3:R4"/>
    <mergeCell ref="S3:S4"/>
    <mergeCell ref="R1:R2"/>
    <mergeCell ref="S1:S2"/>
    <mergeCell ref="R5:R6"/>
    <mergeCell ref="I18:I19"/>
    <mergeCell ref="M32:M33"/>
    <mergeCell ref="I41:I43"/>
    <mergeCell ref="J41:J43"/>
    <mergeCell ref="K41:K43"/>
    <mergeCell ref="I4:J4"/>
    <mergeCell ref="I30:J30"/>
    <mergeCell ref="I31:J31"/>
    <mergeCell ref="L38:L39"/>
    <mergeCell ref="M38:M39"/>
    <mergeCell ref="L41:L43"/>
    <mergeCell ref="L34:L35"/>
    <mergeCell ref="L32:L33"/>
    <mergeCell ref="M36:M37"/>
    <mergeCell ref="M34:M35"/>
    <mergeCell ref="I26:I27"/>
    <mergeCell ref="J26:J27"/>
    <mergeCell ref="V53:X53"/>
    <mergeCell ref="V48:X48"/>
    <mergeCell ref="V50:X50"/>
    <mergeCell ref="V49:X49"/>
    <mergeCell ref="W39:X39"/>
    <mergeCell ref="W34:W35"/>
    <mergeCell ref="W36:W37"/>
    <mergeCell ref="X34:X35"/>
    <mergeCell ref="W32:W33"/>
    <mergeCell ref="X32:X33"/>
    <mergeCell ref="V42:X42"/>
    <mergeCell ref="V41:AA41"/>
    <mergeCell ref="V43:X43"/>
    <mergeCell ref="V44:X46"/>
    <mergeCell ref="V47:X47"/>
    <mergeCell ref="V30:V38"/>
    <mergeCell ref="AJ34:AJ35"/>
    <mergeCell ref="AK34:AK35"/>
    <mergeCell ref="AL34:AL35"/>
    <mergeCell ref="I99:I102"/>
    <mergeCell ref="Y32:Y33"/>
    <mergeCell ref="Y30:Y31"/>
    <mergeCell ref="Y51:Y52"/>
    <mergeCell ref="Y36:Y37"/>
    <mergeCell ref="X36:X37"/>
    <mergeCell ref="I91:I94"/>
    <mergeCell ref="I95:I98"/>
    <mergeCell ref="Y34:Y35"/>
    <mergeCell ref="V56:AA56"/>
    <mergeCell ref="P34:Q34"/>
    <mergeCell ref="P36:Q36"/>
    <mergeCell ref="O37:O43"/>
    <mergeCell ref="P37:P38"/>
    <mergeCell ref="P39:P40"/>
    <mergeCell ref="P41:Q41"/>
    <mergeCell ref="P42:Q42"/>
    <mergeCell ref="P43:Q43"/>
    <mergeCell ref="O30:O36"/>
    <mergeCell ref="O51:O53"/>
    <mergeCell ref="P53:Q53"/>
    <mergeCell ref="AJ18:AM18"/>
    <mergeCell ref="AM3:AM17"/>
    <mergeCell ref="AJ11:AL11"/>
    <mergeCell ref="AJ3:AL3"/>
    <mergeCell ref="AN34:AP34"/>
    <mergeCell ref="AJ33:AY33"/>
    <mergeCell ref="I32:J33"/>
    <mergeCell ref="K34:K35"/>
    <mergeCell ref="I29:M29"/>
    <mergeCell ref="O14:S14"/>
    <mergeCell ref="O18:P18"/>
    <mergeCell ref="W30:X31"/>
    <mergeCell ref="O21:P21"/>
    <mergeCell ref="AW34:AY34"/>
    <mergeCell ref="I5:J5"/>
    <mergeCell ref="AT34:AV34"/>
    <mergeCell ref="AM34:AM35"/>
    <mergeCell ref="AQ34:AS34"/>
    <mergeCell ref="V29:AA29"/>
    <mergeCell ref="AQ11:AU11"/>
    <mergeCell ref="P30:P31"/>
    <mergeCell ref="O29:T29"/>
    <mergeCell ref="P32:P33"/>
    <mergeCell ref="P35:Q35"/>
    <mergeCell ref="AD6:AG6"/>
    <mergeCell ref="AD7:AG7"/>
    <mergeCell ref="AD26:AG26"/>
    <mergeCell ref="AD25:AG25"/>
    <mergeCell ref="W6:X6"/>
    <mergeCell ref="Y6:Z6"/>
    <mergeCell ref="W5:Z5"/>
    <mergeCell ref="O28:Q28"/>
    <mergeCell ref="AD49:AH49"/>
    <mergeCell ref="P52:Q52"/>
    <mergeCell ref="P51:Q51"/>
    <mergeCell ref="V51:X52"/>
    <mergeCell ref="O44:O50"/>
    <mergeCell ref="P44:P45"/>
    <mergeCell ref="P46:P47"/>
    <mergeCell ref="P48:Q48"/>
    <mergeCell ref="P49:Q49"/>
    <mergeCell ref="P50:Q50"/>
  </mergeCells>
  <phoneticPr fontId="34" type="noConversion"/>
  <conditionalFormatting sqref="R18 R8">
    <cfRule type="cellIs" dxfId="2" priority="5" operator="lessThan">
      <formula>$F$14</formula>
    </cfRule>
  </conditionalFormatting>
  <conditionalFormatting sqref="Z32:Z37">
    <cfRule type="cellIs" dxfId="1" priority="2" operator="lessThan">
      <formula>1</formula>
    </cfRule>
  </conditionalFormatting>
  <conditionalFormatting sqref="S28">
    <cfRule type="cellIs" dxfId="0" priority="1" operator="lessThan">
      <formula>1</formula>
    </cfRule>
  </conditionalFormatting>
  <hyperlinks>
    <hyperlink ref="V1" r:id="rId1" xr:uid="{3F967B8F-096B-4856-8396-F42DF8E24EB4}"/>
  </hyperlinks>
  <pageMargins left="0.7" right="0.7" top="0.75" bottom="0.75" header="0.3" footer="0.3"/>
  <pageSetup paperSize="9" orientation="portrait" horizontalDpi="4294967293" verticalDpi="4294967293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A8D2D-5931-459A-AFFD-C7DACAB0DBC6}">
  <sheetPr>
    <tabColor rgb="FFFFC000"/>
  </sheetPr>
  <dimension ref="A3:I29"/>
  <sheetViews>
    <sheetView zoomScaleNormal="100" workbookViewId="0">
      <selection activeCell="F24" sqref="F24"/>
    </sheetView>
  </sheetViews>
  <sheetFormatPr defaultRowHeight="14.4" x14ac:dyDescent="0.3"/>
  <cols>
    <col min="2" max="2" width="11.21875" customWidth="1"/>
    <col min="3" max="3" width="11.88671875" customWidth="1"/>
    <col min="4" max="4" width="13.88671875" customWidth="1"/>
    <col min="5" max="5" width="17" customWidth="1"/>
    <col min="6" max="6" width="19" customWidth="1"/>
  </cols>
  <sheetData>
    <row r="3" spans="1:9" x14ac:dyDescent="0.3">
      <c r="A3" s="668" t="s">
        <v>352</v>
      </c>
      <c r="B3" s="669"/>
      <c r="C3" s="669"/>
      <c r="D3" s="669"/>
      <c r="E3" s="669"/>
      <c r="F3" s="670"/>
      <c r="G3" s="27"/>
      <c r="H3" s="27"/>
      <c r="I3" s="27"/>
    </row>
    <row r="4" spans="1:9" x14ac:dyDescent="0.3">
      <c r="A4" s="663" t="s">
        <v>346</v>
      </c>
      <c r="B4" s="664"/>
      <c r="C4" s="664"/>
      <c r="D4" s="664"/>
      <c r="E4" s="664"/>
      <c r="F4" s="665"/>
      <c r="G4" s="27"/>
      <c r="H4" s="27"/>
      <c r="I4" s="27"/>
    </row>
    <row r="5" spans="1:9" s="407" customFormat="1" x14ac:dyDescent="0.3">
      <c r="A5" s="666" t="s">
        <v>345</v>
      </c>
      <c r="B5" s="667"/>
      <c r="C5" s="667"/>
      <c r="D5" s="667"/>
      <c r="E5" s="661" t="s">
        <v>347</v>
      </c>
      <c r="F5" s="662"/>
      <c r="G5" s="392"/>
      <c r="H5" s="392"/>
      <c r="I5" s="392"/>
    </row>
    <row r="6" spans="1:9" ht="28.8" x14ac:dyDescent="0.3">
      <c r="A6" s="434" t="s">
        <v>179</v>
      </c>
      <c r="B6" s="398" t="s">
        <v>349</v>
      </c>
      <c r="C6" s="429" t="s">
        <v>348</v>
      </c>
      <c r="D6" s="431" t="s">
        <v>350</v>
      </c>
      <c r="E6" s="134" t="s">
        <v>344</v>
      </c>
      <c r="F6" s="430" t="s">
        <v>351</v>
      </c>
      <c r="G6" s="27"/>
      <c r="H6" s="27"/>
      <c r="I6" s="27"/>
    </row>
    <row r="7" spans="1:9" x14ac:dyDescent="0.3">
      <c r="A7" s="214">
        <v>5.4</v>
      </c>
      <c r="B7" s="405">
        <v>18</v>
      </c>
      <c r="C7" s="405">
        <v>15.08</v>
      </c>
      <c r="D7" s="383">
        <v>7.5</v>
      </c>
      <c r="E7" s="404">
        <v>12.05</v>
      </c>
      <c r="F7" s="406">
        <v>6.59</v>
      </c>
      <c r="I7" s="27"/>
    </row>
    <row r="8" spans="1:9" x14ac:dyDescent="0.3">
      <c r="A8" s="408">
        <v>5.4</v>
      </c>
      <c r="B8" s="409">
        <f>B7</f>
        <v>18</v>
      </c>
      <c r="C8" s="409">
        <f>C7</f>
        <v>15.08</v>
      </c>
      <c r="D8" s="413">
        <v>9.5</v>
      </c>
      <c r="E8" s="409">
        <v>10.7</v>
      </c>
      <c r="F8" s="216">
        <v>5.77</v>
      </c>
      <c r="I8" s="27"/>
    </row>
    <row r="9" spans="1:9" x14ac:dyDescent="0.3">
      <c r="A9" s="410">
        <v>5.4</v>
      </c>
      <c r="B9" s="411">
        <v>21</v>
      </c>
      <c r="C9" s="411">
        <f>C8</f>
        <v>15.08</v>
      </c>
      <c r="D9" s="432">
        <v>7.5</v>
      </c>
      <c r="E9" s="58">
        <v>9.08</v>
      </c>
      <c r="F9" s="412">
        <v>5.05</v>
      </c>
      <c r="I9" s="27"/>
    </row>
    <row r="10" spans="1:9" x14ac:dyDescent="0.3">
      <c r="A10" s="408">
        <v>5.4</v>
      </c>
      <c r="B10" s="409">
        <v>21</v>
      </c>
      <c r="C10" s="409">
        <f>C9</f>
        <v>15.08</v>
      </c>
      <c r="D10" s="413">
        <v>9.5</v>
      </c>
      <c r="E10" s="409">
        <v>8.1</v>
      </c>
      <c r="F10" s="413">
        <v>4.4000000000000004</v>
      </c>
      <c r="I10" s="27"/>
    </row>
    <row r="11" spans="1:9" x14ac:dyDescent="0.3">
      <c r="A11" s="211">
        <v>5.4</v>
      </c>
      <c r="B11" s="414">
        <v>21</v>
      </c>
      <c r="C11" s="414">
        <v>15.08</v>
      </c>
      <c r="D11" s="48">
        <v>10.5</v>
      </c>
      <c r="E11" s="9">
        <v>7.78</v>
      </c>
      <c r="F11" s="48">
        <v>4.2300000000000004</v>
      </c>
      <c r="I11" s="27"/>
    </row>
    <row r="12" spans="1:9" x14ac:dyDescent="0.3">
      <c r="A12" s="211">
        <v>5.4</v>
      </c>
      <c r="B12" s="414">
        <v>18</v>
      </c>
      <c r="C12" s="414">
        <v>16.079999999999998</v>
      </c>
      <c r="D12" s="415">
        <v>7.5</v>
      </c>
      <c r="E12" s="414">
        <v>11.58</v>
      </c>
      <c r="F12" s="415">
        <v>6.35</v>
      </c>
      <c r="I12" s="27"/>
    </row>
    <row r="13" spans="1:9" x14ac:dyDescent="0.3">
      <c r="A13" s="416">
        <v>6.4</v>
      </c>
      <c r="B13" s="417">
        <v>18</v>
      </c>
      <c r="C13" s="417">
        <v>16.079999999999998</v>
      </c>
      <c r="D13" s="433">
        <v>7.5</v>
      </c>
      <c r="E13" s="418">
        <v>11.34</v>
      </c>
      <c r="F13" s="264">
        <v>6.19</v>
      </c>
      <c r="I13" s="27"/>
    </row>
    <row r="14" spans="1:9" s="392" customFormat="1" x14ac:dyDescent="0.3">
      <c r="A14" s="214">
        <f>A13</f>
        <v>6.4</v>
      </c>
      <c r="B14" s="405">
        <f>B13</f>
        <v>18</v>
      </c>
      <c r="C14" s="405">
        <f>C13</f>
        <v>16.079999999999998</v>
      </c>
      <c r="D14" s="383">
        <v>9.5</v>
      </c>
      <c r="E14" s="405">
        <v>9.89</v>
      </c>
      <c r="F14" s="383">
        <v>5.27</v>
      </c>
    </row>
    <row r="15" spans="1:9" s="392" customFormat="1" x14ac:dyDescent="0.3">
      <c r="A15" s="408">
        <f>A14</f>
        <v>6.4</v>
      </c>
      <c r="B15" s="409">
        <f>B16</f>
        <v>21</v>
      </c>
      <c r="C15" s="409">
        <f>C14</f>
        <v>16.079999999999998</v>
      </c>
      <c r="D15" s="413">
        <f>D14</f>
        <v>9.5</v>
      </c>
      <c r="E15" s="419">
        <v>7.52</v>
      </c>
      <c r="F15" s="216">
        <v>4.03</v>
      </c>
    </row>
    <row r="16" spans="1:9" x14ac:dyDescent="0.3">
      <c r="A16" s="420">
        <f>A13</f>
        <v>6.4</v>
      </c>
      <c r="B16" s="421">
        <f>B11</f>
        <v>21</v>
      </c>
      <c r="C16" s="421">
        <f>C13</f>
        <v>16.079999999999998</v>
      </c>
      <c r="D16" s="422">
        <v>7.5</v>
      </c>
      <c r="E16" s="421">
        <v>8.59</v>
      </c>
      <c r="F16" s="422">
        <v>4.7300000000000004</v>
      </c>
      <c r="I16" s="27"/>
    </row>
    <row r="17" spans="1:9" x14ac:dyDescent="0.3">
      <c r="A17" s="423">
        <v>6.4</v>
      </c>
      <c r="B17" s="424">
        <v>18</v>
      </c>
      <c r="C17" s="424">
        <v>15.08</v>
      </c>
      <c r="D17" s="425">
        <v>7.5</v>
      </c>
      <c r="E17" s="424">
        <v>11.74</v>
      </c>
      <c r="F17" s="425">
        <v>6.41</v>
      </c>
      <c r="I17" s="27"/>
    </row>
    <row r="18" spans="1:9" x14ac:dyDescent="0.3">
      <c r="A18" s="426">
        <v>7.4</v>
      </c>
      <c r="B18" s="427">
        <f>B17</f>
        <v>18</v>
      </c>
      <c r="C18" s="427">
        <f>C17</f>
        <v>15.08</v>
      </c>
      <c r="D18" s="428">
        <v>7.5</v>
      </c>
      <c r="E18" s="427">
        <v>11.32</v>
      </c>
      <c r="F18" s="428">
        <v>6.18</v>
      </c>
      <c r="I18" s="27"/>
    </row>
    <row r="19" spans="1:9" x14ac:dyDescent="0.3">
      <c r="A19" s="389"/>
      <c r="B19" s="389"/>
      <c r="C19" s="389"/>
      <c r="D19" s="389"/>
      <c r="E19" s="389"/>
      <c r="F19" s="389"/>
      <c r="I19" s="27"/>
    </row>
    <row r="20" spans="1:9" x14ac:dyDescent="0.3">
      <c r="A20" s="389"/>
      <c r="B20" s="389"/>
      <c r="C20" s="389"/>
      <c r="D20" s="389"/>
      <c r="E20" s="389"/>
      <c r="F20" s="389"/>
      <c r="I20" s="27"/>
    </row>
    <row r="21" spans="1:9" x14ac:dyDescent="0.3">
      <c r="A21" s="389"/>
      <c r="B21" s="389"/>
      <c r="C21" s="389"/>
      <c r="D21" s="389"/>
      <c r="E21" s="389"/>
      <c r="F21" s="389"/>
      <c r="I21" s="27"/>
    </row>
    <row r="22" spans="1:9" x14ac:dyDescent="0.3">
      <c r="A22" s="20"/>
      <c r="B22" s="20"/>
      <c r="C22" s="18"/>
      <c r="D22" s="20"/>
      <c r="E22" s="20"/>
      <c r="F22" s="20"/>
      <c r="I22" s="27"/>
    </row>
    <row r="23" spans="1:9" x14ac:dyDescent="0.3">
      <c r="C23" s="240"/>
      <c r="I23" s="27"/>
    </row>
    <row r="24" spans="1:9" x14ac:dyDescent="0.3">
      <c r="C24" s="240"/>
      <c r="I24" s="27"/>
    </row>
    <row r="25" spans="1:9" x14ac:dyDescent="0.3">
      <c r="C25" s="240"/>
      <c r="I25" s="27"/>
    </row>
    <row r="26" spans="1:9" x14ac:dyDescent="0.3">
      <c r="C26" s="240"/>
      <c r="I26" s="27"/>
    </row>
    <row r="27" spans="1:9" x14ac:dyDescent="0.3">
      <c r="C27" s="240"/>
      <c r="I27" s="27"/>
    </row>
    <row r="28" spans="1:9" x14ac:dyDescent="0.3">
      <c r="C28" s="240"/>
      <c r="I28" s="27"/>
    </row>
    <row r="29" spans="1:9" x14ac:dyDescent="0.3">
      <c r="C29" s="240"/>
      <c r="I29" s="27"/>
    </row>
  </sheetData>
  <mergeCells count="4">
    <mergeCell ref="E5:F5"/>
    <mergeCell ref="A4:F4"/>
    <mergeCell ref="A5:D5"/>
    <mergeCell ref="A3:F3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2 tasche (asse verticale)</vt:lpstr>
      <vt:lpstr>3 tasche</vt:lpstr>
      <vt:lpstr>Analisi FEM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2020-11-06T18:27:53Z</cp:lastPrinted>
  <dcterms:created xsi:type="dcterms:W3CDTF">2020-09-21T13:59:02Z</dcterms:created>
  <dcterms:modified xsi:type="dcterms:W3CDTF">2021-02-24T18:24:55Z</dcterms:modified>
</cp:coreProperties>
</file>